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S:\BUDGET\Override FY26\"/>
    </mc:Choice>
  </mc:AlternateContent>
  <xr:revisionPtr revIDLastSave="0" documentId="8_{B6DE1209-2C3B-48B6-A868-867AA819B5C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Budget Article 2026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Fill" hidden="1">#REF!</definedName>
    <definedName name="BUDGET">#REF!</definedName>
    <definedName name="CERT_YR">'[1]SELECT-CITY OR TOWN'!$AB$24</definedName>
    <definedName name="CITY_or_TOWN_Name">"DATABANK"</definedName>
    <definedName name="cseleven">[2]cs2011!$B$3:$Q$355</definedName>
    <definedName name="csten">[2]cs2010!$B$3:$Q$355</definedName>
    <definedName name="cstwelve">[2]cs2012!$B$3:$Q$355</definedName>
    <definedName name="CULT04">[3]HistBudget!#REF!</definedName>
    <definedName name="cult06">[3]HistBudget!#REF!</definedName>
    <definedName name="cultl06">[3]HistBudget!#REF!</definedName>
    <definedName name="cultr05">[3]HistBudget!$M$279</definedName>
    <definedName name="DEBT">#REF!</definedName>
    <definedName name="ELEM04">[3]HistBudget!#REF!</definedName>
    <definedName name="FIRE">#REF!</definedName>
    <definedName name="FIXED04">[3]HistBudget!#REF!</definedName>
    <definedName name="GENE04">[3]HistBudget!#REF!</definedName>
    <definedName name="gene06">[3]HistBudget!$N$112</definedName>
    <definedName name="GENEL06">[3]HistBudget!#REF!</definedName>
    <definedName name="gener05">[3]HistBudget!$M$112</definedName>
    <definedName name="GENGOV">#REF!</definedName>
    <definedName name="HUMA04">[3]HistBudget!#REF!</definedName>
    <definedName name="huma06">[3]HistBudget!#REF!</definedName>
    <definedName name="humal06">[3]HistBudget!#REF!</definedName>
    <definedName name="HUMANSER">#REF!</definedName>
    <definedName name="HUMAr05">[3]HistBudget!$M$254</definedName>
    <definedName name="KING04">[3]HistBudget!#REF!</definedName>
    <definedName name="name">[1]START!$C$46</definedName>
    <definedName name="OTHER">#REF!</definedName>
    <definedName name="pmthist_ST_HJH">#REF!</definedName>
    <definedName name="POLICE">#REF!</definedName>
    <definedName name="_xlnm.Print_Area" localSheetId="0">'Budget Article 2026'!$A$1:$R$234</definedName>
    <definedName name="_xlnm.Print_Area">[4]A!$A$1:$J$42</definedName>
    <definedName name="_xlnm.Print_Titles" localSheetId="0">'Budget Article 2026'!$1:$6</definedName>
    <definedName name="PRINT_TITLES_MI">#REF!</definedName>
    <definedName name="printfix">'[1]OPTIONS TABLE'!#REF!</definedName>
    <definedName name="PROL1">#REF!</definedName>
    <definedName name="PSAFE">#REF!</definedName>
    <definedName name="PUBS04">[3]HistBudget!#REF!</definedName>
    <definedName name="pubs06">[3]HistBudget!#REF!</definedName>
    <definedName name="PUBSL06">[3]HistBudget!#REF!</definedName>
    <definedName name="pubsr05">[3]HistBudget!$M$161</definedName>
    <definedName name="PUBWORK">#REF!</definedName>
    <definedName name="PWKS04">[3]HistBudget!#REF!</definedName>
    <definedName name="pwks06">[3]HistBudget!#REF!</definedName>
    <definedName name="pwksl06">[3]HistBudget!#REF!</definedName>
    <definedName name="PWKSr05">[3]HistBudget!$M$230</definedName>
    <definedName name="RSVD04">[3]HistBudget!#REF!</definedName>
    <definedName name="rsvd06">[3]HistBudget!#REF!</definedName>
    <definedName name="rsvdl06">[3]HistBudget!#REF!</definedName>
    <definedName name="rsvdr05">[3]HistBudget!$M$296</definedName>
    <definedName name="SCHOOL">#REF!</definedName>
    <definedName name="Select">[2]cs2010!$A$1</definedName>
    <definedName name="Select_Municipality">'[5]Cherry Sheet Receipts'!#REF!</definedName>
    <definedName name="STATEASS04">[3]HistBudget!#REF!</definedName>
    <definedName name="STATEASS05">[3]HistBudget!#REF!</definedName>
    <definedName name="STM" localSheetId="0" hidden="1">{#N/A,#N/A,FALSE,"STATE AID"}</definedName>
    <definedName name="STM" hidden="1">{#N/A,#N/A,FALSE,"STATE AID"}</definedName>
    <definedName name="TOTAL04">[3]HistBudget!#REF!</definedName>
    <definedName name="TRIC04">[3]HistBudget!#REF!</definedName>
    <definedName name="WATER">#REF!</definedName>
    <definedName name="wrn.3._.TOWNS." localSheetId="0" hidden="1">{#N/A,#N/A,FALSE,"STATE AID"}</definedName>
    <definedName name="wrn.3._.TOWNS." hidden="1">{#N/A,#N/A,FALSE,"STATE AID"}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2" i="1" l="1"/>
  <c r="N172" i="1"/>
  <c r="M172" i="1"/>
  <c r="N168" i="1"/>
  <c r="P168" i="1" s="1"/>
  <c r="N194" i="1" l="1"/>
  <c r="P194" i="1" s="1"/>
  <c r="N190" i="1"/>
  <c r="P190" i="1" s="1"/>
  <c r="N159" i="1"/>
  <c r="P159" i="1" s="1"/>
  <c r="N151" i="1"/>
  <c r="P151" i="1" s="1"/>
  <c r="N150" i="1"/>
  <c r="P150" i="1" s="1"/>
  <c r="N133" i="1"/>
  <c r="N144" i="1" s="1"/>
  <c r="N93" i="1"/>
  <c r="P93" i="1" s="1"/>
  <c r="P94" i="1"/>
  <c r="N84" i="1"/>
  <c r="P84" i="1" s="1"/>
  <c r="N85" i="1"/>
  <c r="N72" i="1"/>
  <c r="N79" i="1" s="1"/>
  <c r="P37" i="1"/>
  <c r="O227" i="1"/>
  <c r="O218" i="1"/>
  <c r="O196" i="1"/>
  <c r="O199" i="1" s="1"/>
  <c r="O182" i="1"/>
  <c r="O178" i="1"/>
  <c r="O162" i="1"/>
  <c r="O144" i="1"/>
  <c r="O128" i="1"/>
  <c r="O79" i="1"/>
  <c r="N227" i="1"/>
  <c r="N218" i="1"/>
  <c r="N196" i="1"/>
  <c r="N182" i="1"/>
  <c r="N178" i="1"/>
  <c r="N162" i="1"/>
  <c r="N145" i="1" l="1"/>
  <c r="N219" i="1"/>
  <c r="N199" i="1"/>
  <c r="P72" i="1"/>
  <c r="N128" i="1"/>
  <c r="P133" i="1"/>
  <c r="P85" i="1"/>
  <c r="N185" i="1"/>
  <c r="O185" i="1"/>
  <c r="L84" i="1"/>
  <c r="L223" i="1"/>
  <c r="L222" i="1"/>
  <c r="L205" i="1"/>
  <c r="L218" i="1" s="1"/>
  <c r="O219" i="1" s="1"/>
  <c r="L196" i="1"/>
  <c r="L199" i="1" s="1"/>
  <c r="L182" i="1"/>
  <c r="L178" i="1"/>
  <c r="L172" i="1"/>
  <c r="L185" i="1"/>
  <c r="L159" i="1"/>
  <c r="L151" i="1"/>
  <c r="L144" i="1"/>
  <c r="L121" i="1"/>
  <c r="L100" i="1"/>
  <c r="L95" i="1"/>
  <c r="L93" i="1"/>
  <c r="L58" i="1"/>
  <c r="L41" i="1"/>
  <c r="L19" i="1"/>
  <c r="L10" i="1"/>
  <c r="N200" i="1" l="1"/>
  <c r="N186" i="1"/>
  <c r="O232" i="1"/>
  <c r="O186" i="1"/>
  <c r="O200" i="1"/>
  <c r="O145" i="1"/>
  <c r="L162" i="1"/>
  <c r="L227" i="1"/>
  <c r="P232" i="1"/>
  <c r="L128" i="1"/>
  <c r="N129" i="1" s="1"/>
  <c r="N232" i="1"/>
  <c r="L79" i="1"/>
  <c r="O80" i="1" l="1"/>
  <c r="N80" i="1"/>
  <c r="O129" i="1"/>
  <c r="O228" i="1"/>
  <c r="N228" i="1"/>
  <c r="N163" i="1"/>
  <c r="O163" i="1"/>
  <c r="L232" i="1"/>
  <c r="N233" i="1" s="1"/>
  <c r="J19" i="1"/>
  <c r="J223" i="1"/>
  <c r="J222" i="1"/>
  <c r="J205" i="1"/>
  <c r="J203" i="1"/>
  <c r="J196" i="1"/>
  <c r="J191" i="1"/>
  <c r="J190" i="1"/>
  <c r="J182" i="1"/>
  <c r="J172" i="1"/>
  <c r="J167" i="1"/>
  <c r="J159" i="1"/>
  <c r="J151" i="1"/>
  <c r="J150" i="1"/>
  <c r="J144" i="1"/>
  <c r="L145" i="1" s="1"/>
  <c r="J121" i="1"/>
  <c r="J100" i="1"/>
  <c r="J95" i="1"/>
  <c r="J93" i="1"/>
  <c r="J84" i="1"/>
  <c r="J72" i="1"/>
  <c r="J58" i="1"/>
  <c r="J53" i="1"/>
  <c r="J41" i="1"/>
  <c r="J29" i="1"/>
  <c r="J24" i="1"/>
  <c r="J10" i="1"/>
  <c r="J9" i="1"/>
  <c r="H223" i="1"/>
  <c r="H222" i="1"/>
  <c r="H205" i="1"/>
  <c r="H203" i="1"/>
  <c r="H196" i="1"/>
  <c r="H191" i="1"/>
  <c r="H190" i="1"/>
  <c r="H182" i="1"/>
  <c r="H167" i="1"/>
  <c r="H153" i="1"/>
  <c r="H151" i="1"/>
  <c r="H150" i="1"/>
  <c r="H144" i="1"/>
  <c r="H100" i="1"/>
  <c r="H95" i="1"/>
  <c r="H93" i="1"/>
  <c r="H84" i="1"/>
  <c r="H58" i="1"/>
  <c r="H50" i="1"/>
  <c r="H41" i="1"/>
  <c r="H29" i="1"/>
  <c r="H24" i="1"/>
  <c r="H19" i="1"/>
  <c r="H10" i="1"/>
  <c r="M144" i="1"/>
  <c r="M145" i="1" s="1"/>
  <c r="O233" i="1" l="1"/>
  <c r="H218" i="1"/>
  <c r="J79" i="1"/>
  <c r="L80" i="1" s="1"/>
  <c r="J218" i="1"/>
  <c r="L219" i="1" s="1"/>
  <c r="H79" i="1"/>
  <c r="H185" i="1"/>
  <c r="H227" i="1"/>
  <c r="J145" i="1"/>
  <c r="J227" i="1"/>
  <c r="L228" i="1" s="1"/>
  <c r="H128" i="1"/>
  <c r="J199" i="1"/>
  <c r="L200" i="1" s="1"/>
  <c r="J162" i="1"/>
  <c r="L163" i="1" s="1"/>
  <c r="J128" i="1"/>
  <c r="L129" i="1" s="1"/>
  <c r="H162" i="1"/>
  <c r="H199" i="1"/>
  <c r="J185" i="1"/>
  <c r="L186" i="1" s="1"/>
  <c r="M196" i="1"/>
  <c r="M182" i="1"/>
  <c r="M178" i="1"/>
  <c r="G9" i="1"/>
  <c r="G10" i="1"/>
  <c r="F19" i="1"/>
  <c r="G21" i="1"/>
  <c r="F30" i="1"/>
  <c r="E34" i="1"/>
  <c r="F34" i="1"/>
  <c r="F38" i="1"/>
  <c r="F59" i="1"/>
  <c r="E73" i="1"/>
  <c r="G73" i="1"/>
  <c r="E76" i="1"/>
  <c r="F76" i="1"/>
  <c r="F85" i="1"/>
  <c r="G85" i="1"/>
  <c r="E86" i="1"/>
  <c r="E95" i="1"/>
  <c r="F95" i="1"/>
  <c r="G95" i="1"/>
  <c r="F101" i="1"/>
  <c r="E120" i="1"/>
  <c r="F120" i="1"/>
  <c r="F121" i="1"/>
  <c r="G125" i="1"/>
  <c r="E144" i="1"/>
  <c r="F144" i="1"/>
  <c r="G144" i="1"/>
  <c r="F156" i="1"/>
  <c r="F162" i="1" s="1"/>
  <c r="E162" i="1"/>
  <c r="G162" i="1"/>
  <c r="E173" i="1"/>
  <c r="E178" i="1"/>
  <c r="F185" i="1"/>
  <c r="G185" i="1"/>
  <c r="G194" i="1"/>
  <c r="G199" i="1" s="1"/>
  <c r="E199" i="1"/>
  <c r="F199" i="1"/>
  <c r="G211" i="1"/>
  <c r="E215" i="1"/>
  <c r="E218" i="1" s="1"/>
  <c r="F215" i="1"/>
  <c r="F218" i="1" s="1"/>
  <c r="G215" i="1"/>
  <c r="F223" i="1"/>
  <c r="F227" i="1" s="1"/>
  <c r="G223" i="1"/>
  <c r="G224" i="1"/>
  <c r="G225" i="1"/>
  <c r="E227" i="1"/>
  <c r="E232" i="1" s="1"/>
  <c r="J228" i="1" l="1"/>
  <c r="F232" i="1"/>
  <c r="J186" i="1"/>
  <c r="J219" i="1"/>
  <c r="J232" i="1"/>
  <c r="L233" i="1" s="1"/>
  <c r="J200" i="1"/>
  <c r="J80" i="1"/>
  <c r="J163" i="1"/>
  <c r="J129" i="1"/>
  <c r="M128" i="1"/>
  <c r="M129" i="1" s="1"/>
  <c r="M162" i="1"/>
  <c r="M163" i="1" s="1"/>
  <c r="M185" i="1"/>
  <c r="M186" i="1" s="1"/>
  <c r="M218" i="1"/>
  <c r="M219" i="1" s="1"/>
  <c r="M227" i="1"/>
  <c r="M228" i="1" s="1"/>
  <c r="M199" i="1"/>
  <c r="M200" i="1" s="1"/>
  <c r="M79" i="1"/>
  <c r="M80" i="1" s="1"/>
  <c r="G79" i="1"/>
  <c r="F79" i="1"/>
  <c r="E128" i="1"/>
  <c r="G128" i="1"/>
  <c r="E185" i="1"/>
  <c r="G218" i="1"/>
  <c r="E79" i="1"/>
  <c r="G227" i="1"/>
  <c r="G232" i="1" s="1"/>
  <c r="F128" i="1"/>
  <c r="M232" i="1" l="1"/>
  <c r="M233" i="1" s="1"/>
  <c r="H232" i="1"/>
  <c r="J233" i="1" l="1"/>
</calcChain>
</file>

<file path=xl/sharedStrings.xml><?xml version="1.0" encoding="utf-8"?>
<sst xmlns="http://schemas.openxmlformats.org/spreadsheetml/2006/main" count="282" uniqueCount="130">
  <si>
    <t>ARTICLE 5-OPERATING BUDGET FY2026</t>
  </si>
  <si>
    <t>TOWN OF HANSON</t>
  </si>
  <si>
    <t>Fiscal Year 2026</t>
  </si>
  <si>
    <t>FY2015</t>
  </si>
  <si>
    <t>FY2016</t>
  </si>
  <si>
    <t>FY2017</t>
  </si>
  <si>
    <t>FY2023</t>
  </si>
  <si>
    <t>FY2024</t>
  </si>
  <si>
    <t>FY 2025</t>
  </si>
  <si>
    <t>Department</t>
  </si>
  <si>
    <t xml:space="preserve">5A Finance Committee without override </t>
  </si>
  <si>
    <t xml:space="preserve">5B Finance Committee with override </t>
  </si>
  <si>
    <t>Reductions</t>
  </si>
  <si>
    <t>Comment</t>
  </si>
  <si>
    <t>Line #</t>
  </si>
  <si>
    <t>ACTUAL</t>
  </si>
  <si>
    <t>BUDGET</t>
  </si>
  <si>
    <t>Request</t>
  </si>
  <si>
    <t>Recommends</t>
  </si>
  <si>
    <t>Funding source(s)</t>
  </si>
  <si>
    <t>GENERAL GOVERNMENT:</t>
  </si>
  <si>
    <t>SELECTMEN/ADMINISTRATION</t>
  </si>
  <si>
    <t>Salaries</t>
  </si>
  <si>
    <t>Taxation</t>
  </si>
  <si>
    <t>Expenses</t>
  </si>
  <si>
    <t>Capital Outlay</t>
  </si>
  <si>
    <t>FINANCE COMMITTEE</t>
  </si>
  <si>
    <t>Reserve Fund (budget)</t>
  </si>
  <si>
    <t>ACCOUNTANT</t>
  </si>
  <si>
    <t>Audit</t>
  </si>
  <si>
    <t>ASSESSORS</t>
  </si>
  <si>
    <t>TREASURER/COLLECTOR</t>
  </si>
  <si>
    <t>MWPAT Admin Expenses</t>
  </si>
  <si>
    <t>MWPAT Title V Interest</t>
  </si>
  <si>
    <t>LEGAL SERVICES</t>
  </si>
  <si>
    <t>INFORMATION TECHNOLOGY</t>
  </si>
  <si>
    <t>IT Support Position</t>
  </si>
  <si>
    <t>TOWN CLERK</t>
  </si>
  <si>
    <t>ELECTIONS</t>
  </si>
  <si>
    <t>BOARD OF REGISTRARS</t>
  </si>
  <si>
    <t>CONSERVATION COMMISSION</t>
  </si>
  <si>
    <t xml:space="preserve">   Salaries</t>
  </si>
  <si>
    <t>12,750 Wetlands Protection</t>
  </si>
  <si>
    <t xml:space="preserve">   Expenses</t>
  </si>
  <si>
    <t>PLANNING BOARD</t>
  </si>
  <si>
    <t>APPEALS BOARD</t>
  </si>
  <si>
    <t>ECONOMIC DEVELOPMENT</t>
  </si>
  <si>
    <t>POSTAGE</t>
  </si>
  <si>
    <t>MUNICIPAL BUILDINGS</t>
  </si>
  <si>
    <t>Facilities Director</t>
  </si>
  <si>
    <t>UTILITIES</t>
  </si>
  <si>
    <t>Subtotal, GENERAL GOVERNMENT</t>
  </si>
  <si>
    <t>PUBLIC SAFETY:</t>
  </si>
  <si>
    <t>POLICE</t>
  </si>
  <si>
    <t>1 officer</t>
  </si>
  <si>
    <t>3 Police Cruisers</t>
  </si>
  <si>
    <t>COMMUNICATIONS</t>
  </si>
  <si>
    <t>FIRE &amp; AMBULANCE</t>
  </si>
  <si>
    <t>1 FF</t>
  </si>
  <si>
    <t>4 FF</t>
  </si>
  <si>
    <t>$50,000 Ambulance Rcpts Fund</t>
  </si>
  <si>
    <t>BUILDING INSPECTION</t>
  </si>
  <si>
    <t>GAS INSPECTION</t>
  </si>
  <si>
    <t>PLUMBING INSPECTION</t>
  </si>
  <si>
    <t>WEIGHTS &amp; MEASURES</t>
  </si>
  <si>
    <t>WIRING INSPECTION</t>
  </si>
  <si>
    <t>ANIMAL CONTROL</t>
  </si>
  <si>
    <t>TREE WARDEN</t>
  </si>
  <si>
    <t>Subtotal, PUBLIC SAFETY</t>
  </si>
  <si>
    <t>EDUCATION:</t>
  </si>
  <si>
    <t>WHITMAN-HANSON REGIONAL</t>
  </si>
  <si>
    <t>Operating Assessment</t>
  </si>
  <si>
    <t>WHRSD Budget</t>
  </si>
  <si>
    <t>Transportation Assessment</t>
  </si>
  <si>
    <t>Debt Assessment</t>
  </si>
  <si>
    <t>SOUTH SHORE REGIONAL TECH</t>
  </si>
  <si>
    <t>NORFOLK/BRISTOL AGRICULTURAL</t>
  </si>
  <si>
    <t>Subtotal, EDUCATION</t>
  </si>
  <si>
    <t>PUBLIC WORKS:</t>
  </si>
  <si>
    <t>HIGHWAY</t>
  </si>
  <si>
    <t>Skilled laborer</t>
  </si>
  <si>
    <t>Storm Water MGT</t>
  </si>
  <si>
    <t>Snow &amp; Ice</t>
  </si>
  <si>
    <t>Street Sweeping</t>
  </si>
  <si>
    <t>TOWN-WIDE FUEL</t>
  </si>
  <si>
    <t xml:space="preserve">SOLID WASTE </t>
  </si>
  <si>
    <t>P/T Attendendants</t>
  </si>
  <si>
    <t>Subtotal, PUBLIC WORKS</t>
  </si>
  <si>
    <t>HUMAN SERVICES:</t>
  </si>
  <si>
    <t>BOARD OF HEALTH</t>
  </si>
  <si>
    <t>Health Expenses</t>
  </si>
  <si>
    <t>VNA Services</t>
  </si>
  <si>
    <t>COUNCIL ON AGING</t>
  </si>
  <si>
    <t>COA Salaries</t>
  </si>
  <si>
    <t>VETERANS</t>
  </si>
  <si>
    <t>Assistance</t>
  </si>
  <si>
    <t>CARE OF SOLDIERS GRAVES</t>
  </si>
  <si>
    <t>Subtotal, HUMAN SERVICES</t>
  </si>
  <si>
    <t>CULTURE &amp; RECREATION:</t>
  </si>
  <si>
    <t xml:space="preserve"> LIBRARY</t>
  </si>
  <si>
    <t>Extra Hours reduced</t>
  </si>
  <si>
    <t>PARK &amp; FIELDS</t>
  </si>
  <si>
    <t>Field Expenses</t>
  </si>
  <si>
    <t>PATRIOTIC OBSERVANCE COMM</t>
  </si>
  <si>
    <t>Subtotal, CULTURE &amp; RECREATION</t>
  </si>
  <si>
    <t>FIXED COSTS:</t>
  </si>
  <si>
    <t>DEBT SERVICE</t>
  </si>
  <si>
    <t>Principal</t>
  </si>
  <si>
    <t>$140,000 MWPAT Title V</t>
  </si>
  <si>
    <t>Interest</t>
  </si>
  <si>
    <t>$8,450 MWPAT Title V Interest</t>
  </si>
  <si>
    <t>$550 Debt Premium reserved</t>
  </si>
  <si>
    <t>PLYMOUTH COUNTY RETIREMENT</t>
  </si>
  <si>
    <t>UNEMPLOYMENT COMPENSATION</t>
  </si>
  <si>
    <t>GROUP INSURANCE</t>
  </si>
  <si>
    <t>RISK MANAGEMENT</t>
  </si>
  <si>
    <t>Subtoal, FIXED COSTS</t>
  </si>
  <si>
    <t>WATER:</t>
  </si>
  <si>
    <t>To enterprise Fund</t>
  </si>
  <si>
    <t>Water Revenue</t>
  </si>
  <si>
    <t>Debt Service</t>
  </si>
  <si>
    <t>Indirect Costs</t>
  </si>
  <si>
    <t>Subtotal, WATER</t>
  </si>
  <si>
    <t>Use additional Free Cash</t>
  </si>
  <si>
    <t>TOTAL - ALL BUDGETS</t>
  </si>
  <si>
    <t>110,475 Taxation</t>
  </si>
  <si>
    <t>$31,550 Taxation</t>
  </si>
  <si>
    <t>$320,000 Taxation</t>
  </si>
  <si>
    <t>$254,020 Taxation</t>
  </si>
  <si>
    <t>Taxation less $675,000 ambulance 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</si>
</sst>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_);_(* \(#,##0.000000\);_(* &quot;-&quot;??_);_(@_)"/>
    <numFmt numFmtId="165" formatCode="m/d/yy;@"/>
    <numFmt numFmtId="166" formatCode="_(&quot;$&quot;* #,##0_);_(&quot;$&quot;* \(#,##0\);_(&quot;$&quot;* &quot;-&quot;??_);_(@_)"/>
    <numFmt numFmtId="167" formatCode="_(* #,##0.000_);_(* \(#,##0.000\);_(* &quot;-&quot;??_);_(@_)"/>
    <numFmt numFmtId="168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0"/>
      <name val="Geneva"/>
    </font>
    <font>
      <sz val="9"/>
      <name val="Geneva"/>
    </font>
    <font>
      <b/>
      <sz val="10"/>
      <name val="Geneva"/>
    </font>
    <font>
      <b/>
      <sz val="9"/>
      <name val="Geneva"/>
    </font>
    <font>
      <b/>
      <sz val="12"/>
      <name val="Geneva"/>
    </font>
    <font>
      <u val="singleAccounting"/>
      <sz val="9"/>
      <name val="Geneva"/>
    </font>
    <font>
      <sz val="10"/>
      <name val="Arial"/>
      <family val="2"/>
    </font>
    <font>
      <sz val="9"/>
      <name val="Arial"/>
      <family val="2"/>
    </font>
    <font>
      <sz val="9"/>
      <color indexed="10"/>
      <name val="Geneva"/>
      <family val="2"/>
    </font>
    <font>
      <b/>
      <u/>
      <sz val="9"/>
      <name val="Geneva"/>
    </font>
    <font>
      <sz val="11"/>
      <color theme="1"/>
      <name val="Calibri"/>
      <family val="2"/>
      <scheme val="minor"/>
    </font>
    <font>
      <b/>
      <i/>
      <sz val="10"/>
      <name val="Geneva"/>
    </font>
    <font>
      <b/>
      <i/>
      <sz val="9"/>
      <color rgb="FF000000"/>
      <name val="Genev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44" fontId="1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2"/>
    <xf numFmtId="0" fontId="7" fillId="0" borderId="0" xfId="3"/>
    <xf numFmtId="4" fontId="2" fillId="0" borderId="0" xfId="2" applyNumberFormat="1" applyFont="1" applyAlignment="1">
      <alignment horizontal="centerContinuous"/>
    </xf>
    <xf numFmtId="0" fontId="4" fillId="0" borderId="0" xfId="2" applyFont="1" applyAlignment="1">
      <alignment horizontal="center"/>
    </xf>
    <xf numFmtId="4" fontId="3" fillId="0" borderId="0" xfId="2" applyNumberFormat="1" applyFont="1" applyAlignment="1">
      <alignment horizontal="center"/>
    </xf>
    <xf numFmtId="4" fontId="4" fillId="0" borderId="0" xfId="2" applyNumberFormat="1" applyFont="1" applyAlignment="1">
      <alignment horizontal="center"/>
    </xf>
    <xf numFmtId="43" fontId="2" fillId="0" borderId="0" xfId="2" applyNumberFormat="1" applyFont="1"/>
    <xf numFmtId="42" fontId="1" fillId="0" borderId="0" xfId="2" applyNumberFormat="1"/>
    <xf numFmtId="43" fontId="6" fillId="0" borderId="0" xfId="2" applyNumberFormat="1" applyFont="1"/>
    <xf numFmtId="43" fontId="4" fillId="0" borderId="0" xfId="2" applyNumberFormat="1" applyFont="1" applyAlignment="1">
      <alignment horizontal="center"/>
    </xf>
    <xf numFmtId="43" fontId="4" fillId="0" borderId="0" xfId="2" applyNumberFormat="1" applyFont="1"/>
    <xf numFmtId="166" fontId="1" fillId="0" borderId="0" xfId="4" applyNumberFormat="1" applyFont="1"/>
    <xf numFmtId="0" fontId="5" fillId="0" borderId="0" xfId="2" applyFont="1" applyAlignment="1">
      <alignment horizontal="center"/>
    </xf>
    <xf numFmtId="0" fontId="1" fillId="0" borderId="1" xfId="2" applyBorder="1"/>
    <xf numFmtId="0" fontId="3" fillId="0" borderId="1" xfId="2" applyFont="1" applyBorder="1"/>
    <xf numFmtId="165" fontId="3" fillId="0" borderId="1" xfId="2" applyNumberFormat="1" applyFont="1" applyBorder="1" applyAlignment="1">
      <alignment horizontal="center"/>
    </xf>
    <xf numFmtId="41" fontId="3" fillId="0" borderId="1" xfId="2" applyNumberFormat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4" fontId="3" fillId="0" borderId="1" xfId="2" applyNumberFormat="1" applyFont="1" applyBorder="1" applyAlignment="1">
      <alignment horizontal="center"/>
    </xf>
    <xf numFmtId="4" fontId="4" fillId="0" borderId="1" xfId="2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4" fillId="0" borderId="1" xfId="2" applyFont="1" applyBorder="1"/>
    <xf numFmtId="4" fontId="10" fillId="0" borderId="1" xfId="2" applyNumberFormat="1" applyFont="1" applyBorder="1" applyAlignment="1">
      <alignment horizontal="center"/>
    </xf>
    <xf numFmtId="0" fontId="1" fillId="0" borderId="1" xfId="2" applyBorder="1" applyAlignment="1">
      <alignment horizontal="center"/>
    </xf>
    <xf numFmtId="0" fontId="2" fillId="0" borderId="1" xfId="2" applyFont="1" applyBorder="1"/>
    <xf numFmtId="41" fontId="1" fillId="0" borderId="1" xfId="2" applyNumberFormat="1" applyBorder="1"/>
    <xf numFmtId="43" fontId="1" fillId="0" borderId="1" xfId="2" applyNumberFormat="1" applyBorder="1"/>
    <xf numFmtId="43" fontId="2" fillId="0" borderId="1" xfId="2" applyNumberFormat="1" applyFont="1" applyBorder="1"/>
    <xf numFmtId="0" fontId="7" fillId="0" borderId="1" xfId="3" applyBorder="1" applyAlignment="1">
      <alignment horizontal="center"/>
    </xf>
    <xf numFmtId="0" fontId="7" fillId="0" borderId="1" xfId="3" applyBorder="1"/>
    <xf numFmtId="0" fontId="8" fillId="0" borderId="1" xfId="3" applyFont="1" applyBorder="1"/>
    <xf numFmtId="0" fontId="9" fillId="0" borderId="1" xfId="2" applyFont="1" applyBorder="1"/>
    <xf numFmtId="43" fontId="2" fillId="0" borderId="1" xfId="2" applyNumberFormat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10" fontId="3" fillId="0" borderId="1" xfId="2" applyNumberFormat="1" applyFont="1" applyBorder="1"/>
    <xf numFmtId="43" fontId="6" fillId="0" borderId="1" xfId="2" applyNumberFormat="1" applyFont="1" applyBorder="1"/>
    <xf numFmtId="41" fontId="1" fillId="0" borderId="1" xfId="1" applyNumberFormat="1" applyFont="1" applyFill="1" applyBorder="1"/>
    <xf numFmtId="10" fontId="1" fillId="0" borderId="1" xfId="1" applyNumberFormat="1" applyFont="1" applyFill="1" applyBorder="1"/>
    <xf numFmtId="164" fontId="1" fillId="0" borderId="1" xfId="2" applyNumberFormat="1" applyBorder="1"/>
    <xf numFmtId="43" fontId="3" fillId="0" borderId="1" xfId="2" applyNumberFormat="1" applyFont="1" applyBorder="1" applyAlignment="1">
      <alignment horizontal="center"/>
    </xf>
    <xf numFmtId="43" fontId="4" fillId="0" borderId="1" xfId="2" applyNumberFormat="1" applyFont="1" applyBorder="1" applyAlignment="1">
      <alignment horizontal="center"/>
    </xf>
    <xf numFmtId="10" fontId="1" fillId="0" borderId="1" xfId="2" applyNumberFormat="1" applyBorder="1"/>
    <xf numFmtId="0" fontId="5" fillId="0" borderId="1" xfId="2" applyFont="1" applyBorder="1"/>
    <xf numFmtId="42" fontId="1" fillId="0" borderId="1" xfId="2" applyNumberFormat="1" applyBorder="1"/>
    <xf numFmtId="41" fontId="4" fillId="0" borderId="1" xfId="2" applyNumberFormat="1" applyFont="1" applyBorder="1" applyAlignment="1">
      <alignment horizontal="center"/>
    </xf>
    <xf numFmtId="41" fontId="4" fillId="0" borderId="1" xfId="2" applyNumberFormat="1" applyFont="1" applyBorder="1" applyAlignment="1">
      <alignment horizontal="center" wrapText="1"/>
    </xf>
    <xf numFmtId="168" fontId="1" fillId="0" borderId="1" xfId="2" applyNumberFormat="1" applyBorder="1"/>
    <xf numFmtId="10" fontId="3" fillId="0" borderId="1" xfId="1" applyNumberFormat="1" applyFont="1" applyFill="1" applyBorder="1"/>
    <xf numFmtId="41" fontId="12" fillId="0" borderId="1" xfId="2" applyNumberFormat="1" applyFont="1" applyBorder="1"/>
    <xf numFmtId="167" fontId="3" fillId="0" borderId="1" xfId="2" applyNumberFormat="1" applyFont="1" applyBorder="1"/>
    <xf numFmtId="167" fontId="1" fillId="0" borderId="1" xfId="1" applyNumberFormat="1" applyFont="1" applyFill="1" applyBorder="1"/>
    <xf numFmtId="168" fontId="1" fillId="0" borderId="1" xfId="1" applyNumberFormat="1" applyFont="1" applyFill="1" applyBorder="1"/>
    <xf numFmtId="167" fontId="1" fillId="0" borderId="1" xfId="2" applyNumberFormat="1" applyBorder="1"/>
    <xf numFmtId="168" fontId="3" fillId="0" borderId="1" xfId="2" applyNumberFormat="1" applyFont="1" applyBorder="1"/>
    <xf numFmtId="44" fontId="3" fillId="0" borderId="1" xfId="4" applyFont="1" applyFill="1" applyBorder="1"/>
    <xf numFmtId="41" fontId="12" fillId="0" borderId="1" xfId="2" applyNumberFormat="1" applyFont="1" applyBorder="1" applyAlignment="1">
      <alignment horizontal="center"/>
    </xf>
    <xf numFmtId="10" fontId="12" fillId="0" borderId="1" xfId="2" applyNumberFormat="1" applyFont="1" applyBorder="1"/>
    <xf numFmtId="0" fontId="12" fillId="0" borderId="1" xfId="2" applyFont="1" applyBorder="1"/>
    <xf numFmtId="41" fontId="12" fillId="0" borderId="1" xfId="1" applyNumberFormat="1" applyFont="1" applyFill="1" applyBorder="1"/>
    <xf numFmtId="43" fontId="12" fillId="0" borderId="1" xfId="2" applyNumberFormat="1" applyFont="1" applyBorder="1"/>
    <xf numFmtId="10" fontId="12" fillId="0" borderId="1" xfId="1" applyNumberFormat="1" applyFont="1" applyFill="1" applyBorder="1"/>
    <xf numFmtId="164" fontId="12" fillId="0" borderId="1" xfId="2" applyNumberFormat="1" applyFont="1" applyBorder="1"/>
    <xf numFmtId="42" fontId="12" fillId="0" borderId="1" xfId="2" applyNumberFormat="1" applyFont="1" applyBorder="1"/>
    <xf numFmtId="41" fontId="13" fillId="0" borderId="1" xfId="2" applyNumberFormat="1" applyFont="1" applyBorder="1" applyAlignment="1">
      <alignment horizontal="center" wrapText="1"/>
    </xf>
    <xf numFmtId="41" fontId="13" fillId="0" borderId="1" xfId="2" applyNumberFormat="1" applyFont="1" applyBorder="1" applyAlignment="1">
      <alignment horizontal="center"/>
    </xf>
    <xf numFmtId="41" fontId="3" fillId="0" borderId="1" xfId="2" applyNumberFormat="1" applyFont="1" applyBorder="1" applyAlignment="1">
      <alignment horizont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/>
    </xf>
  </cellXfs>
  <cellStyles count="5">
    <cellStyle name="Currency" xfId="4" builtinId="4"/>
    <cellStyle name="Normal" xfId="0" builtinId="0"/>
    <cellStyle name="Normal_APPRBUDG" xfId="2" xr:uid="{00000000-0005-0000-0000-000001000000}"/>
    <cellStyle name="Normal_Approp2005" xfId="3" xr:uid="{00000000-0005-0000-0000-000003000000}"/>
    <cellStyle name="Percent" xfId="1" builtinId="5"/>
  </cellStyles>
  <dxfs count="0"/>
  <tableStyles count="0" defaultTableStyle="TableStyleMedium2" defaultPivotStyle="PivotStyleLight16"/>
  <colors>
    <mruColors>
      <color rgb="FFED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Todd\My%20Documents\Wrentham\Tax%20Recaps\RECAP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ass.gov/dor/docs/dls/mdmstuf/stateaid/cstrendmun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Todd\My%20Documents\Norfolk\FY2006\BudgetBasis.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esktop.virtualnorfolk.org/PROGRAM%20FILES/FIRSTCLASS/Download/04%20Worksheets/04%20Municipal%20Fina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wansea%201\FY2016\FY16%20Sources%20&amp;%20Uses%2002-09-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FIRST"/>
      <sheetName val="START"/>
      <sheetName val="TAX TITLE FORM"/>
      <sheetName val="TEACHER DEFERRAL"/>
      <sheetName val="A-1"/>
      <sheetName val="A-2(1ST)"/>
      <sheetName val="A-2(2ND)"/>
      <sheetName val="A-2(3RD)"/>
      <sheetName val="A-2(4TH)"/>
      <sheetName val="A-2(5TH)"/>
      <sheetName val="A-2(6TH)"/>
      <sheetName val="A-2(7TH)"/>
      <sheetName val="A-3"/>
      <sheetName val="A-4"/>
      <sheetName val="B-1"/>
      <sheetName val="B-2"/>
      <sheetName val="OL-1"/>
      <sheetName val="DE-1"/>
      <sheetName val="LA4"/>
      <sheetName val="LA15"/>
      <sheetName val="LA7"/>
      <sheetName val="CHAPTER 200"/>
      <sheetName val="SELECT-CITY OR TOWN"/>
      <sheetName val="Chapter 3"/>
      <sheetName val="LA13 Top"/>
      <sheetName val="LA13 Bottom"/>
      <sheetName val="LA-13A"/>
      <sheetName val="LEVYLIMIT"/>
      <sheetName val="OPTIONS TABLE"/>
      <sheetName val="LA5 INPUT"/>
      <sheetName val="LA5 FORM"/>
      <sheetName val="RECAP PAGE 1"/>
      <sheetName val="RECAP PAGE 2"/>
      <sheetName val="RECAP PAGE 3"/>
      <sheetName val="RECAP PAGE 4"/>
      <sheetName val="PRO FORMA PAGE 1"/>
      <sheetName val="PRO FORMA PAGE 2"/>
      <sheetName val="PRO FORMA PAGE 3"/>
      <sheetName val="PRO FORMA PAGE 4"/>
      <sheetName val="Sheet1"/>
      <sheetName val="Sheet2"/>
      <sheetName val="Sheet3"/>
      <sheetName val="Sheet4"/>
      <sheetName val="Module2"/>
      <sheetName val="Module15"/>
      <sheetName val="Module30"/>
      <sheetName val="Module35"/>
      <sheetName val="Module37"/>
      <sheetName val="Module38"/>
      <sheetName val="Module42"/>
      <sheetName val="Module44"/>
      <sheetName val="Module46"/>
      <sheetName val="Module45"/>
      <sheetName val="Module47"/>
      <sheetName val="Module48"/>
      <sheetName val="Module49"/>
      <sheetName val="Module50"/>
      <sheetName val="Module51"/>
      <sheetName val="Module52"/>
      <sheetName val="Module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herry Sheet Receipts"/>
      <sheetName val="cs2010"/>
      <sheetName val="cs2011"/>
      <sheetName val="cs201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AP.Basis06"/>
      <sheetName val="Budget.Basis06"/>
      <sheetName val="BudgetSumm06"/>
      <sheetName val="AppropSched"/>
      <sheetName val="STM 10-25-05"/>
      <sheetName val="COVER"/>
      <sheetName val="FY06 Revenue"/>
      <sheetName val="Recomm Budg"/>
      <sheetName val="FY06 Imp Budget"/>
      <sheetName val="Options LS to Bal"/>
      <sheetName val="Employee Ben"/>
      <sheetName val="Notes"/>
      <sheetName val="BYLAW INCREASE"/>
      <sheetName val="Debt Exclusions"/>
      <sheetName val="Tax Rate"/>
      <sheetName val="Options Rec to Bal"/>
      <sheetName val="Bal Budg Wksh"/>
      <sheetName val="Advisory Board Cover"/>
      <sheetName val="Adv Brd Cov Lfunding"/>
      <sheetName val="Exp by Type"/>
      <sheetName val="HistBudget"/>
      <sheetName val="Sheet2"/>
      <sheetName val="SALARY"/>
      <sheetName val="Sal Chrt 1"/>
      <sheetName val="Sal Chrt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analysis"/>
      <sheetName val="Property Taxes"/>
      <sheetName val="Tax Rates"/>
      <sheetName val="Prop Values by Class"/>
      <sheetName val="Avg Single Family Tax"/>
      <sheetName val="Overlay"/>
      <sheetName val="Cherry Sheet Receipts"/>
      <sheetName val="Cherry Sheet Assessments"/>
      <sheetName val="Local Receipts"/>
      <sheetName val="Free Cash &amp; Stabilization"/>
      <sheetName val="Credit Ratings"/>
      <sheetName val="Snow Defic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49"/>
  <sheetViews>
    <sheetView showGridLines="0" tabSelected="1" zoomScale="120" zoomScaleNormal="120" workbookViewId="0">
      <pane ySplit="6" topLeftCell="A46" activePane="bottomLeft" state="frozen"/>
      <selection pane="bottomLeft" activeCell="R86" sqref="R86"/>
    </sheetView>
  </sheetViews>
  <sheetFormatPr defaultColWidth="11.42578125" defaultRowHeight="12.75"/>
  <cols>
    <col min="1" max="1" width="5.7109375" style="1" customWidth="1"/>
    <col min="2" max="2" width="4.7109375" style="1" customWidth="1"/>
    <col min="3" max="3" width="1.7109375" style="1" customWidth="1"/>
    <col min="4" max="4" width="29.28515625" style="1" bestFit="1" customWidth="1"/>
    <col min="5" max="5" width="15" style="1" hidden="1" customWidth="1"/>
    <col min="6" max="7" width="12.28515625" style="1" hidden="1" customWidth="1"/>
    <col min="8" max="8" width="14.140625" style="1" hidden="1" customWidth="1"/>
    <col min="9" max="9" width="1.7109375" style="1" customWidth="1"/>
    <col min="10" max="10" width="14.85546875" style="1" customWidth="1"/>
    <col min="11" max="11" width="1.7109375" style="1" customWidth="1"/>
    <col min="12" max="12" width="19.5703125" style="1" customWidth="1"/>
    <col min="13" max="13" width="16.5703125" style="1" bestFit="1" customWidth="1"/>
    <col min="14" max="14" width="16.5703125" style="1" customWidth="1"/>
    <col min="15" max="17" width="18.42578125" style="1" customWidth="1"/>
    <col min="18" max="18" width="31.85546875" style="1" customWidth="1"/>
    <col min="19" max="19" width="10.7109375" style="1" customWidth="1"/>
    <col min="20" max="16384" width="11.42578125" style="1"/>
  </cols>
  <sheetData>
    <row r="1" spans="1:19" ht="15.75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3"/>
    </row>
    <row r="2" spans="1:19" ht="15.75"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9" ht="15.7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9">
      <c r="A4" s="14"/>
      <c r="B4" s="15"/>
      <c r="C4" s="14"/>
      <c r="D4" s="14"/>
      <c r="E4" s="16"/>
      <c r="F4" s="16"/>
      <c r="G4" s="16"/>
      <c r="H4" s="16"/>
      <c r="I4" s="16"/>
      <c r="J4" s="16"/>
      <c r="K4" s="16"/>
      <c r="L4" s="16"/>
      <c r="M4" s="66" t="s">
        <v>2</v>
      </c>
      <c r="N4" s="66"/>
      <c r="O4" s="66"/>
      <c r="P4" s="17"/>
      <c r="Q4" s="17"/>
      <c r="R4" s="18"/>
      <c r="S4" s="4"/>
    </row>
    <row r="5" spans="1:19" ht="36">
      <c r="A5" s="14"/>
      <c r="B5" s="15"/>
      <c r="C5" s="14"/>
      <c r="D5" s="14"/>
      <c r="E5" s="19" t="s">
        <v>3</v>
      </c>
      <c r="F5" s="19" t="s">
        <v>4</v>
      </c>
      <c r="G5" s="19" t="s">
        <v>5</v>
      </c>
      <c r="H5" s="19" t="s">
        <v>6</v>
      </c>
      <c r="I5" s="19"/>
      <c r="J5" s="19" t="s">
        <v>7</v>
      </c>
      <c r="K5" s="19"/>
      <c r="L5" s="19" t="s">
        <v>8</v>
      </c>
      <c r="M5" s="45" t="s">
        <v>9</v>
      </c>
      <c r="N5" s="64" t="s">
        <v>10</v>
      </c>
      <c r="O5" s="64" t="s">
        <v>11</v>
      </c>
      <c r="P5" s="46" t="s">
        <v>12</v>
      </c>
      <c r="Q5" s="46" t="s">
        <v>13</v>
      </c>
      <c r="R5" s="20"/>
      <c r="S5" s="5"/>
    </row>
    <row r="6" spans="1:19">
      <c r="A6" s="21" t="s">
        <v>14</v>
      </c>
      <c r="B6" s="14"/>
      <c r="C6" s="22"/>
      <c r="D6" s="14"/>
      <c r="E6" s="19" t="s">
        <v>15</v>
      </c>
      <c r="F6" s="19" t="s">
        <v>15</v>
      </c>
      <c r="G6" s="19" t="s">
        <v>15</v>
      </c>
      <c r="H6" s="19" t="s">
        <v>16</v>
      </c>
      <c r="I6" s="19"/>
      <c r="J6" s="19" t="s">
        <v>16</v>
      </c>
      <c r="K6" s="19"/>
      <c r="L6" s="19" t="s">
        <v>16</v>
      </c>
      <c r="M6" s="45" t="s">
        <v>17</v>
      </c>
      <c r="N6" s="65" t="s">
        <v>18</v>
      </c>
      <c r="O6" s="65" t="s">
        <v>18</v>
      </c>
      <c r="P6" s="45"/>
      <c r="Q6" s="45"/>
      <c r="R6" s="23" t="s">
        <v>19</v>
      </c>
      <c r="S6" s="5"/>
    </row>
    <row r="7" spans="1:19">
      <c r="A7" s="14"/>
      <c r="B7" s="15" t="s">
        <v>20</v>
      </c>
      <c r="C7" s="22"/>
      <c r="D7" s="14"/>
      <c r="E7" s="17"/>
      <c r="F7" s="17"/>
      <c r="G7" s="17"/>
      <c r="H7" s="17"/>
      <c r="I7" s="17"/>
      <c r="J7" s="17"/>
      <c r="K7" s="19"/>
      <c r="L7" s="19"/>
      <c r="M7" s="17"/>
      <c r="N7" s="56"/>
      <c r="O7" s="56"/>
      <c r="P7" s="17"/>
      <c r="Q7" s="17"/>
      <c r="R7" s="20"/>
      <c r="S7" s="6"/>
    </row>
    <row r="8" spans="1:19">
      <c r="A8" s="14"/>
      <c r="B8" s="24">
        <v>122</v>
      </c>
      <c r="C8" s="25" t="s">
        <v>21</v>
      </c>
      <c r="D8" s="14"/>
      <c r="E8" s="26"/>
      <c r="F8" s="26"/>
      <c r="G8" s="26"/>
      <c r="H8" s="26"/>
      <c r="I8" s="26"/>
      <c r="J8" s="26"/>
      <c r="K8" s="27"/>
      <c r="L8" s="47"/>
      <c r="M8" s="26"/>
      <c r="N8" s="56"/>
      <c r="O8" s="56"/>
      <c r="P8" s="17"/>
      <c r="Q8" s="17"/>
      <c r="R8" s="28"/>
      <c r="S8" s="7"/>
    </row>
    <row r="9" spans="1:19">
      <c r="A9" s="24">
        <v>1</v>
      </c>
      <c r="B9" s="24"/>
      <c r="C9" s="14"/>
      <c r="D9" s="25" t="s">
        <v>22</v>
      </c>
      <c r="E9" s="26">
        <v>156073</v>
      </c>
      <c r="F9" s="26">
        <v>146691</v>
      </c>
      <c r="G9" s="26">
        <f>166614</f>
        <v>166614</v>
      </c>
      <c r="H9" s="26">
        <v>205432</v>
      </c>
      <c r="I9" s="26"/>
      <c r="J9" s="26">
        <f>64000+12034+148570</f>
        <v>224604</v>
      </c>
      <c r="K9" s="27"/>
      <c r="L9" s="47">
        <v>235112</v>
      </c>
      <c r="M9" s="26">
        <v>247771</v>
      </c>
      <c r="N9" s="49">
        <v>247771</v>
      </c>
      <c r="O9" s="49">
        <v>247771</v>
      </c>
      <c r="P9" s="26"/>
      <c r="Q9" s="26"/>
      <c r="R9" s="28" t="s">
        <v>23</v>
      </c>
      <c r="S9" s="7"/>
    </row>
    <row r="10" spans="1:19">
      <c r="A10" s="24">
        <v>2</v>
      </c>
      <c r="B10" s="24"/>
      <c r="C10" s="14"/>
      <c r="D10" s="25" t="s">
        <v>24</v>
      </c>
      <c r="E10" s="26">
        <v>19681</v>
      </c>
      <c r="F10" s="26">
        <v>21138</v>
      </c>
      <c r="G10" s="26">
        <f>19945</f>
        <v>19945</v>
      </c>
      <c r="H10" s="26">
        <f>46600+15000+5000</f>
        <v>66600</v>
      </c>
      <c r="I10" s="26"/>
      <c r="J10" s="26">
        <f>36800+15000+5000</f>
        <v>56800</v>
      </c>
      <c r="K10" s="27"/>
      <c r="L10" s="47">
        <f>23600+15000+5000</f>
        <v>43600</v>
      </c>
      <c r="M10" s="26">
        <v>41300</v>
      </c>
      <c r="N10" s="49">
        <v>41300</v>
      </c>
      <c r="O10" s="49">
        <v>41300</v>
      </c>
      <c r="P10" s="26"/>
      <c r="Q10" s="26"/>
      <c r="R10" s="28" t="s">
        <v>23</v>
      </c>
      <c r="S10" s="7"/>
    </row>
    <row r="11" spans="1:19">
      <c r="A11" s="24">
        <v>3</v>
      </c>
      <c r="B11" s="24"/>
      <c r="C11" s="14"/>
      <c r="D11" s="25" t="s">
        <v>25</v>
      </c>
      <c r="E11" s="26">
        <v>0</v>
      </c>
      <c r="F11" s="26">
        <v>28426</v>
      </c>
      <c r="G11" s="26">
        <v>0</v>
      </c>
      <c r="H11" s="26"/>
      <c r="I11" s="26"/>
      <c r="J11" s="26"/>
      <c r="K11" s="27"/>
      <c r="L11" s="47"/>
      <c r="M11" s="26"/>
      <c r="N11" s="49"/>
      <c r="O11" s="49"/>
      <c r="P11" s="26"/>
      <c r="Q11" s="26"/>
      <c r="R11" s="28"/>
      <c r="S11" s="7"/>
    </row>
    <row r="12" spans="1:19" ht="6" customHeight="1">
      <c r="A12" s="14"/>
      <c r="B12" s="24"/>
      <c r="C12" s="14"/>
      <c r="D12" s="14"/>
      <c r="E12" s="26"/>
      <c r="F12" s="26"/>
      <c r="G12" s="26"/>
      <c r="H12" s="26"/>
      <c r="I12" s="26"/>
      <c r="J12" s="26"/>
      <c r="K12" s="27"/>
      <c r="L12" s="47"/>
      <c r="M12" s="26"/>
      <c r="N12" s="49"/>
      <c r="O12" s="49"/>
      <c r="P12" s="26"/>
      <c r="Q12" s="26"/>
      <c r="R12" s="28"/>
      <c r="S12" s="7"/>
    </row>
    <row r="13" spans="1:19">
      <c r="A13" s="14"/>
      <c r="B13" s="24">
        <v>131</v>
      </c>
      <c r="C13" s="25" t="s">
        <v>26</v>
      </c>
      <c r="D13" s="14"/>
      <c r="E13" s="26"/>
      <c r="F13" s="26"/>
      <c r="G13" s="26"/>
      <c r="H13" s="26"/>
      <c r="I13" s="26"/>
      <c r="J13" s="26"/>
      <c r="K13" s="27"/>
      <c r="L13" s="47"/>
      <c r="M13" s="26"/>
      <c r="N13" s="49"/>
      <c r="O13" s="49"/>
      <c r="P13" s="26"/>
      <c r="Q13" s="26"/>
      <c r="R13" s="28"/>
      <c r="S13" s="7"/>
    </row>
    <row r="14" spans="1:19">
      <c r="A14" s="24">
        <v>4</v>
      </c>
      <c r="B14" s="24"/>
      <c r="C14" s="14"/>
      <c r="D14" s="25" t="s">
        <v>22</v>
      </c>
      <c r="E14" s="26">
        <v>471</v>
      </c>
      <c r="F14" s="26">
        <v>840</v>
      </c>
      <c r="G14" s="26">
        <v>0</v>
      </c>
      <c r="H14" s="26">
        <v>1500</v>
      </c>
      <c r="I14" s="26"/>
      <c r="J14" s="26">
        <v>1500</v>
      </c>
      <c r="K14" s="27"/>
      <c r="L14" s="47">
        <v>1500</v>
      </c>
      <c r="M14" s="26">
        <v>1500</v>
      </c>
      <c r="N14" s="49">
        <v>1500</v>
      </c>
      <c r="O14" s="49">
        <v>1500</v>
      </c>
      <c r="P14" s="26"/>
      <c r="Q14" s="26"/>
      <c r="R14" s="28" t="s">
        <v>23</v>
      </c>
      <c r="S14" s="7"/>
    </row>
    <row r="15" spans="1:19">
      <c r="A15" s="24">
        <v>5</v>
      </c>
      <c r="B15" s="24"/>
      <c r="C15" s="14"/>
      <c r="D15" s="25" t="s">
        <v>24</v>
      </c>
      <c r="E15" s="26">
        <v>176</v>
      </c>
      <c r="F15" s="26">
        <v>176</v>
      </c>
      <c r="G15" s="26">
        <v>176</v>
      </c>
      <c r="H15" s="26">
        <v>450</v>
      </c>
      <c r="I15" s="26"/>
      <c r="J15" s="26">
        <v>450</v>
      </c>
      <c r="K15" s="27"/>
      <c r="L15" s="47">
        <v>450</v>
      </c>
      <c r="M15" s="26">
        <v>450</v>
      </c>
      <c r="N15" s="49">
        <v>450</v>
      </c>
      <c r="O15" s="49">
        <v>450</v>
      </c>
      <c r="P15" s="26"/>
      <c r="Q15" s="26"/>
      <c r="R15" s="28" t="s">
        <v>23</v>
      </c>
      <c r="S15" s="7"/>
    </row>
    <row r="16" spans="1:19">
      <c r="A16" s="24">
        <v>6</v>
      </c>
      <c r="B16" s="24"/>
      <c r="C16" s="14"/>
      <c r="D16" s="25" t="s">
        <v>27</v>
      </c>
      <c r="E16" s="26">
        <v>86187</v>
      </c>
      <c r="F16" s="26">
        <v>75000</v>
      </c>
      <c r="G16" s="26">
        <v>90000</v>
      </c>
      <c r="H16" s="26">
        <v>150000</v>
      </c>
      <c r="I16" s="26"/>
      <c r="J16" s="26">
        <v>125000</v>
      </c>
      <c r="K16" s="27"/>
      <c r="L16" s="47">
        <v>125000</v>
      </c>
      <c r="M16" s="26">
        <v>105000</v>
      </c>
      <c r="N16" s="49">
        <v>105000</v>
      </c>
      <c r="O16" s="49">
        <v>105000</v>
      </c>
      <c r="P16" s="26"/>
      <c r="Q16" s="26"/>
      <c r="R16" s="28" t="s">
        <v>23</v>
      </c>
      <c r="S16" s="11"/>
    </row>
    <row r="17" spans="1:19" ht="6" customHeight="1">
      <c r="A17" s="14"/>
      <c r="B17" s="24"/>
      <c r="C17" s="14"/>
      <c r="D17" s="14"/>
      <c r="E17" s="26"/>
      <c r="F17" s="26"/>
      <c r="G17" s="26"/>
      <c r="H17" s="26"/>
      <c r="I17" s="26"/>
      <c r="J17" s="26"/>
      <c r="K17" s="27"/>
      <c r="L17" s="47"/>
      <c r="M17" s="26"/>
      <c r="N17" s="49"/>
      <c r="O17" s="49"/>
      <c r="P17" s="26"/>
      <c r="Q17" s="26"/>
      <c r="R17" s="28"/>
      <c r="S17" s="7"/>
    </row>
    <row r="18" spans="1:19">
      <c r="A18" s="14"/>
      <c r="B18" s="24">
        <v>135</v>
      </c>
      <c r="C18" s="25" t="s">
        <v>28</v>
      </c>
      <c r="D18" s="14"/>
      <c r="E18" s="26"/>
      <c r="F18" s="26"/>
      <c r="G18" s="26"/>
      <c r="H18" s="26"/>
      <c r="I18" s="26"/>
      <c r="J18" s="26"/>
      <c r="K18" s="27"/>
      <c r="L18" s="47"/>
      <c r="M18" s="26"/>
      <c r="N18" s="49"/>
      <c r="O18" s="49"/>
      <c r="P18" s="26"/>
      <c r="Q18" s="26"/>
      <c r="R18" s="28"/>
      <c r="S18" s="7"/>
    </row>
    <row r="19" spans="1:19">
      <c r="A19" s="24">
        <v>7</v>
      </c>
      <c r="B19" s="24"/>
      <c r="C19" s="14"/>
      <c r="D19" s="25" t="s">
        <v>22</v>
      </c>
      <c r="E19" s="26">
        <v>92064</v>
      </c>
      <c r="F19" s="26">
        <f>78858+4335</f>
        <v>83193</v>
      </c>
      <c r="G19" s="26">
        <v>88833</v>
      </c>
      <c r="H19" s="26">
        <f>68750+54490</f>
        <v>123240</v>
      </c>
      <c r="I19" s="26"/>
      <c r="J19" s="26">
        <f>75000+55360</f>
        <v>130360</v>
      </c>
      <c r="K19" s="27"/>
      <c r="L19" s="47">
        <f>75000+57044</f>
        <v>132044</v>
      </c>
      <c r="M19" s="26">
        <v>136402</v>
      </c>
      <c r="N19" s="49">
        <v>136402</v>
      </c>
      <c r="O19" s="49">
        <v>136402</v>
      </c>
      <c r="P19" s="26"/>
      <c r="Q19" s="26"/>
      <c r="R19" s="28" t="s">
        <v>23</v>
      </c>
      <c r="S19" s="7"/>
    </row>
    <row r="20" spans="1:19">
      <c r="A20" s="24">
        <v>8</v>
      </c>
      <c r="B20" s="24"/>
      <c r="C20" s="14"/>
      <c r="D20" s="25" t="s">
        <v>24</v>
      </c>
      <c r="E20" s="26">
        <v>799</v>
      </c>
      <c r="F20" s="26">
        <v>817</v>
      </c>
      <c r="G20" s="26">
        <v>1039</v>
      </c>
      <c r="H20" s="26">
        <v>2125</v>
      </c>
      <c r="I20" s="26"/>
      <c r="J20" s="26">
        <v>2125</v>
      </c>
      <c r="K20" s="27"/>
      <c r="L20" s="47">
        <v>2125</v>
      </c>
      <c r="M20" s="26">
        <v>2125</v>
      </c>
      <c r="N20" s="49">
        <v>2125</v>
      </c>
      <c r="O20" s="49">
        <v>2125</v>
      </c>
      <c r="P20" s="26"/>
      <c r="Q20" s="26"/>
      <c r="R20" s="28" t="s">
        <v>23</v>
      </c>
      <c r="S20" s="7"/>
    </row>
    <row r="21" spans="1:19">
      <c r="A21" s="24">
        <v>9</v>
      </c>
      <c r="B21" s="24"/>
      <c r="C21" s="14"/>
      <c r="D21" s="25" t="s">
        <v>29</v>
      </c>
      <c r="E21" s="26">
        <v>34750</v>
      </c>
      <c r="F21" s="26">
        <v>27500</v>
      </c>
      <c r="G21" s="26">
        <f>28000+8500</f>
        <v>36500</v>
      </c>
      <c r="H21" s="26">
        <v>40000</v>
      </c>
      <c r="I21" s="26"/>
      <c r="J21" s="26">
        <v>40000</v>
      </c>
      <c r="K21" s="27"/>
      <c r="L21" s="47">
        <v>40000</v>
      </c>
      <c r="M21" s="26">
        <v>38875</v>
      </c>
      <c r="N21" s="49">
        <v>38875</v>
      </c>
      <c r="O21" s="49">
        <v>38875</v>
      </c>
      <c r="P21" s="26"/>
      <c r="Q21" s="26"/>
      <c r="R21" s="28" t="s">
        <v>23</v>
      </c>
      <c r="S21" s="7"/>
    </row>
    <row r="22" spans="1:19" ht="6" customHeight="1">
      <c r="A22" s="14"/>
      <c r="B22" s="24"/>
      <c r="C22" s="14"/>
      <c r="D22" s="14"/>
      <c r="E22" s="26"/>
      <c r="F22" s="26"/>
      <c r="G22" s="26"/>
      <c r="H22" s="26"/>
      <c r="I22" s="26"/>
      <c r="J22" s="26"/>
      <c r="K22" s="27"/>
      <c r="L22" s="47"/>
      <c r="M22" s="26"/>
      <c r="N22" s="49"/>
      <c r="O22" s="49"/>
      <c r="P22" s="26"/>
      <c r="Q22" s="26"/>
      <c r="R22" s="28"/>
      <c r="S22" s="7"/>
    </row>
    <row r="23" spans="1:19">
      <c r="A23" s="14"/>
      <c r="B23" s="24">
        <v>141</v>
      </c>
      <c r="C23" s="25" t="s">
        <v>30</v>
      </c>
      <c r="D23" s="14"/>
      <c r="E23" s="26"/>
      <c r="F23" s="26"/>
      <c r="G23" s="26"/>
      <c r="H23" s="26"/>
      <c r="I23" s="26"/>
      <c r="J23" s="26"/>
      <c r="K23" s="27"/>
      <c r="L23" s="47"/>
      <c r="M23" s="26"/>
      <c r="N23" s="49"/>
      <c r="O23" s="49"/>
      <c r="P23" s="26"/>
      <c r="Q23" s="26"/>
      <c r="R23" s="28"/>
      <c r="S23" s="7"/>
    </row>
    <row r="24" spans="1:19">
      <c r="A24" s="24">
        <v>10</v>
      </c>
      <c r="B24" s="24"/>
      <c r="C24" s="14"/>
      <c r="D24" s="25" t="s">
        <v>22</v>
      </c>
      <c r="E24" s="26">
        <v>131953</v>
      </c>
      <c r="F24" s="26">
        <v>136626</v>
      </c>
      <c r="G24" s="26">
        <v>145242</v>
      </c>
      <c r="H24" s="26">
        <f>82714+111672</f>
        <v>194386</v>
      </c>
      <c r="I24" s="26"/>
      <c r="J24" s="26">
        <f>95000+114634</f>
        <v>209634</v>
      </c>
      <c r="K24" s="27"/>
      <c r="L24" s="47">
        <v>207475</v>
      </c>
      <c r="M24" s="26">
        <v>223356</v>
      </c>
      <c r="N24" s="49">
        <v>223356</v>
      </c>
      <c r="O24" s="49">
        <v>223356</v>
      </c>
      <c r="P24" s="26"/>
      <c r="Q24" s="26"/>
      <c r="R24" s="28" t="s">
        <v>23</v>
      </c>
      <c r="S24" s="7"/>
    </row>
    <row r="25" spans="1:19">
      <c r="A25" s="24"/>
      <c r="B25" s="24"/>
      <c r="C25" s="14"/>
      <c r="D25" s="25"/>
      <c r="E25" s="26"/>
      <c r="F25" s="26"/>
      <c r="G25" s="26"/>
      <c r="H25" s="26"/>
      <c r="I25" s="26"/>
      <c r="J25" s="26"/>
      <c r="K25" s="27"/>
      <c r="L25" s="47"/>
      <c r="M25" s="26"/>
      <c r="N25" s="49"/>
      <c r="O25" s="49"/>
      <c r="P25" s="26"/>
      <c r="Q25" s="26"/>
      <c r="R25" s="28"/>
      <c r="S25" s="7"/>
    </row>
    <row r="26" spans="1:19">
      <c r="A26" s="24">
        <v>11</v>
      </c>
      <c r="B26" s="24"/>
      <c r="C26" s="14"/>
      <c r="D26" s="25" t="s">
        <v>24</v>
      </c>
      <c r="E26" s="26">
        <v>6442</v>
      </c>
      <c r="F26" s="26">
        <v>6038</v>
      </c>
      <c r="G26" s="26">
        <v>5771</v>
      </c>
      <c r="H26" s="26">
        <v>8110</v>
      </c>
      <c r="I26" s="26"/>
      <c r="J26" s="26">
        <v>7510</v>
      </c>
      <c r="K26" s="27"/>
      <c r="L26" s="47">
        <v>8200</v>
      </c>
      <c r="M26" s="26">
        <v>17300</v>
      </c>
      <c r="N26" s="49">
        <v>17300</v>
      </c>
      <c r="O26" s="49">
        <v>17300</v>
      </c>
      <c r="P26" s="26"/>
      <c r="Q26" s="26"/>
      <c r="R26" s="28" t="s">
        <v>23</v>
      </c>
      <c r="S26" s="7"/>
    </row>
    <row r="27" spans="1:19" ht="6" customHeight="1">
      <c r="A27" s="14"/>
      <c r="B27" s="24"/>
      <c r="C27" s="14"/>
      <c r="D27" s="14"/>
      <c r="E27" s="26"/>
      <c r="F27" s="26"/>
      <c r="G27" s="26"/>
      <c r="H27" s="26"/>
      <c r="I27" s="26"/>
      <c r="J27" s="26"/>
      <c r="K27" s="27"/>
      <c r="L27" s="47"/>
      <c r="M27" s="26"/>
      <c r="N27" s="49"/>
      <c r="O27" s="49"/>
      <c r="P27" s="26"/>
      <c r="Q27" s="26"/>
      <c r="R27" s="28"/>
      <c r="S27" s="7"/>
    </row>
    <row r="28" spans="1:19">
      <c r="A28" s="14"/>
      <c r="B28" s="24">
        <v>145</v>
      </c>
      <c r="C28" s="25" t="s">
        <v>31</v>
      </c>
      <c r="D28" s="14"/>
      <c r="E28" s="26"/>
      <c r="F28" s="26"/>
      <c r="G28" s="26"/>
      <c r="H28" s="26"/>
      <c r="I28" s="26"/>
      <c r="J28" s="26"/>
      <c r="K28" s="27"/>
      <c r="L28" s="47"/>
      <c r="M28" s="26"/>
      <c r="N28" s="49"/>
      <c r="O28" s="49"/>
      <c r="P28" s="26"/>
      <c r="Q28" s="26"/>
      <c r="R28" s="28"/>
      <c r="S28" s="7"/>
    </row>
    <row r="29" spans="1:19">
      <c r="A29" s="24">
        <v>12</v>
      </c>
      <c r="B29" s="24"/>
      <c r="C29" s="14"/>
      <c r="D29" s="25" t="s">
        <v>22</v>
      </c>
      <c r="E29" s="26">
        <v>175878</v>
      </c>
      <c r="F29" s="26">
        <v>180709</v>
      </c>
      <c r="G29" s="26">
        <v>180846</v>
      </c>
      <c r="H29" s="26">
        <f>91521+138365</f>
        <v>229886</v>
      </c>
      <c r="I29" s="26"/>
      <c r="J29" s="26">
        <f>98000+4000+141108</f>
        <v>243108</v>
      </c>
      <c r="K29" s="27"/>
      <c r="L29" s="47">
        <v>249592</v>
      </c>
      <c r="M29" s="26">
        <v>257827</v>
      </c>
      <c r="N29" s="49">
        <v>257827</v>
      </c>
      <c r="O29" s="49">
        <v>257827</v>
      </c>
      <c r="P29" s="26"/>
      <c r="Q29" s="26"/>
      <c r="R29" s="28" t="s">
        <v>23</v>
      </c>
      <c r="S29" s="7"/>
    </row>
    <row r="30" spans="1:19">
      <c r="A30" s="24">
        <v>13</v>
      </c>
      <c r="B30" s="24"/>
      <c r="C30" s="14"/>
      <c r="D30" s="25" t="s">
        <v>24</v>
      </c>
      <c r="E30" s="26">
        <v>6688</v>
      </c>
      <c r="F30" s="26">
        <f>8503+619</f>
        <v>9122</v>
      </c>
      <c r="G30" s="26">
        <v>7262</v>
      </c>
      <c r="H30" s="26">
        <v>16000</v>
      </c>
      <c r="I30" s="26"/>
      <c r="J30" s="26">
        <v>16750</v>
      </c>
      <c r="K30" s="27"/>
      <c r="L30" s="47">
        <v>16750</v>
      </c>
      <c r="M30" s="26">
        <v>18050</v>
      </c>
      <c r="N30" s="49">
        <v>18050</v>
      </c>
      <c r="O30" s="49">
        <v>18050</v>
      </c>
      <c r="P30" s="26"/>
      <c r="Q30" s="26"/>
      <c r="R30" s="28" t="s">
        <v>23</v>
      </c>
      <c r="S30" s="7"/>
    </row>
    <row r="31" spans="1:19">
      <c r="A31" s="24">
        <v>14</v>
      </c>
      <c r="B31" s="24"/>
      <c r="C31" s="14"/>
      <c r="D31" s="25" t="s">
        <v>32</v>
      </c>
      <c r="E31" s="26">
        <v>2408</v>
      </c>
      <c r="F31" s="26">
        <v>5416</v>
      </c>
      <c r="G31" s="26">
        <v>5416</v>
      </c>
      <c r="H31" s="26">
        <v>10000</v>
      </c>
      <c r="I31" s="26"/>
      <c r="J31" s="26">
        <v>5000</v>
      </c>
      <c r="K31" s="27"/>
      <c r="L31" s="47">
        <v>12000</v>
      </c>
      <c r="M31" s="26">
        <v>12000</v>
      </c>
      <c r="N31" s="49">
        <v>12000</v>
      </c>
      <c r="O31" s="49">
        <v>12000</v>
      </c>
      <c r="P31" s="26"/>
      <c r="Q31" s="26"/>
      <c r="R31" s="28" t="s">
        <v>33</v>
      </c>
      <c r="S31" s="7"/>
    </row>
    <row r="32" spans="1:19" s="2" customFormat="1" ht="6" customHeight="1">
      <c r="A32" s="29"/>
      <c r="B32" s="30"/>
      <c r="C32" s="31"/>
      <c r="D32" s="31"/>
      <c r="E32" s="26"/>
      <c r="F32" s="26"/>
      <c r="G32" s="26"/>
      <c r="H32" s="26"/>
      <c r="I32" s="26"/>
      <c r="J32" s="26"/>
      <c r="K32" s="27"/>
      <c r="L32" s="47"/>
      <c r="M32" s="26"/>
      <c r="N32" s="49"/>
      <c r="O32" s="49"/>
      <c r="P32" s="26"/>
      <c r="Q32" s="26"/>
      <c r="R32" s="28"/>
      <c r="S32" s="7"/>
    </row>
    <row r="33" spans="1:19">
      <c r="A33" s="14"/>
      <c r="B33" s="24">
        <v>151</v>
      </c>
      <c r="C33" s="25" t="s">
        <v>34</v>
      </c>
      <c r="D33" s="32"/>
      <c r="E33" s="26"/>
      <c r="F33" s="26"/>
      <c r="G33" s="26"/>
      <c r="H33" s="26"/>
      <c r="I33" s="26"/>
      <c r="J33" s="26"/>
      <c r="K33" s="27"/>
      <c r="L33" s="47"/>
      <c r="M33" s="26"/>
      <c r="N33" s="49"/>
      <c r="O33" s="49"/>
      <c r="P33" s="26"/>
      <c r="Q33" s="26"/>
      <c r="R33" s="28"/>
      <c r="S33" s="7"/>
    </row>
    <row r="34" spans="1:19">
      <c r="A34" s="24">
        <v>15</v>
      </c>
      <c r="B34" s="24"/>
      <c r="C34" s="14"/>
      <c r="D34" s="25" t="s">
        <v>24</v>
      </c>
      <c r="E34" s="26">
        <f>96678+315</f>
        <v>96993</v>
      </c>
      <c r="F34" s="26">
        <f>133100+11577</f>
        <v>144677</v>
      </c>
      <c r="G34" s="26">
        <v>134774</v>
      </c>
      <c r="H34" s="26">
        <v>145000</v>
      </c>
      <c r="I34" s="26"/>
      <c r="J34" s="26">
        <v>135000</v>
      </c>
      <c r="K34" s="27"/>
      <c r="L34" s="47">
        <v>135000</v>
      </c>
      <c r="M34" s="26">
        <v>135000</v>
      </c>
      <c r="N34" s="49">
        <v>135000</v>
      </c>
      <c r="O34" s="49">
        <v>135000</v>
      </c>
      <c r="P34" s="26"/>
      <c r="Q34" s="26"/>
      <c r="R34" s="28" t="s">
        <v>23</v>
      </c>
      <c r="S34" s="7"/>
    </row>
    <row r="35" spans="1:19" ht="6" customHeight="1">
      <c r="A35" s="14"/>
      <c r="B35" s="24"/>
      <c r="C35" s="14"/>
      <c r="D35" s="14"/>
      <c r="E35" s="26"/>
      <c r="F35" s="26"/>
      <c r="G35" s="26"/>
      <c r="H35" s="26"/>
      <c r="I35" s="26"/>
      <c r="J35" s="26"/>
      <c r="K35" s="27"/>
      <c r="L35" s="47"/>
      <c r="M35" s="26"/>
      <c r="N35" s="49"/>
      <c r="O35" s="49"/>
      <c r="P35" s="26"/>
      <c r="Q35" s="26"/>
      <c r="R35" s="28"/>
      <c r="S35" s="7"/>
    </row>
    <row r="36" spans="1:19">
      <c r="A36" s="14"/>
      <c r="B36" s="24">
        <v>155</v>
      </c>
      <c r="C36" s="25" t="s">
        <v>35</v>
      </c>
      <c r="D36" s="14"/>
      <c r="E36" s="26"/>
      <c r="F36" s="26"/>
      <c r="G36" s="26"/>
      <c r="H36" s="26"/>
      <c r="I36" s="26"/>
      <c r="J36" s="26"/>
      <c r="K36" s="27"/>
      <c r="L36" s="47"/>
      <c r="M36" s="26"/>
      <c r="N36" s="49"/>
      <c r="O36" s="49"/>
      <c r="P36" s="26"/>
      <c r="Q36" s="26"/>
      <c r="R36" s="28"/>
      <c r="S36" s="7"/>
    </row>
    <row r="37" spans="1:19">
      <c r="A37" s="24">
        <v>16</v>
      </c>
      <c r="B37" s="24"/>
      <c r="C37" s="14"/>
      <c r="D37" s="25" t="s">
        <v>22</v>
      </c>
      <c r="E37" s="26">
        <v>175878</v>
      </c>
      <c r="F37" s="26">
        <v>0</v>
      </c>
      <c r="G37" s="26">
        <v>0</v>
      </c>
      <c r="H37" s="26">
        <v>90780</v>
      </c>
      <c r="I37" s="26"/>
      <c r="J37" s="26">
        <v>108000</v>
      </c>
      <c r="K37" s="27"/>
      <c r="L37" s="47">
        <v>110500</v>
      </c>
      <c r="M37" s="26">
        <v>220000</v>
      </c>
      <c r="N37" s="49">
        <v>170000</v>
      </c>
      <c r="O37" s="49">
        <v>220000</v>
      </c>
      <c r="P37" s="26">
        <f>O37-N37</f>
        <v>50000</v>
      </c>
      <c r="Q37" s="26" t="s">
        <v>36</v>
      </c>
      <c r="R37" s="28" t="s">
        <v>23</v>
      </c>
      <c r="S37" s="7"/>
    </row>
    <row r="38" spans="1:19">
      <c r="A38" s="24">
        <v>17</v>
      </c>
      <c r="B38" s="24"/>
      <c r="C38" s="14"/>
      <c r="D38" s="25" t="s">
        <v>24</v>
      </c>
      <c r="E38" s="26">
        <v>111048</v>
      </c>
      <c r="F38" s="26">
        <f>131923+5562</f>
        <v>137485</v>
      </c>
      <c r="G38" s="26">
        <v>104109</v>
      </c>
      <c r="H38" s="26">
        <v>151844</v>
      </c>
      <c r="I38" s="26"/>
      <c r="J38" s="26">
        <v>172000</v>
      </c>
      <c r="K38" s="27"/>
      <c r="L38" s="47">
        <v>152000</v>
      </c>
      <c r="M38" s="26">
        <v>167500</v>
      </c>
      <c r="N38" s="49">
        <v>167500</v>
      </c>
      <c r="O38" s="49">
        <v>167500</v>
      </c>
      <c r="P38" s="26"/>
      <c r="Q38" s="26"/>
      <c r="R38" s="28" t="s">
        <v>23</v>
      </c>
      <c r="S38" s="7"/>
    </row>
    <row r="39" spans="1:19" ht="6" customHeight="1">
      <c r="A39" s="14"/>
      <c r="B39" s="24"/>
      <c r="C39" s="14"/>
      <c r="D39" s="14"/>
      <c r="E39" s="26"/>
      <c r="F39" s="26"/>
      <c r="G39" s="26"/>
      <c r="H39" s="26"/>
      <c r="I39" s="26"/>
      <c r="J39" s="26"/>
      <c r="K39" s="27"/>
      <c r="L39" s="47"/>
      <c r="M39" s="26"/>
      <c r="N39" s="49"/>
      <c r="O39" s="49"/>
      <c r="P39" s="26"/>
      <c r="Q39" s="26"/>
      <c r="R39" s="28"/>
      <c r="S39" s="7"/>
    </row>
    <row r="40" spans="1:19">
      <c r="A40" s="14"/>
      <c r="B40" s="24">
        <v>161</v>
      </c>
      <c r="C40" s="25" t="s">
        <v>37</v>
      </c>
      <c r="D40" s="14"/>
      <c r="E40" s="26"/>
      <c r="F40" s="26"/>
      <c r="G40" s="26"/>
      <c r="H40" s="26"/>
      <c r="I40" s="26"/>
      <c r="J40" s="26"/>
      <c r="K40" s="27"/>
      <c r="L40" s="47"/>
      <c r="M40" s="26"/>
      <c r="N40" s="49"/>
      <c r="O40" s="49"/>
      <c r="P40" s="26"/>
      <c r="Q40" s="26"/>
      <c r="R40" s="28"/>
      <c r="S40" s="7"/>
    </row>
    <row r="41" spans="1:19">
      <c r="A41" s="24">
        <v>18</v>
      </c>
      <c r="B41" s="24"/>
      <c r="C41" s="14"/>
      <c r="D41" s="25" t="s">
        <v>22</v>
      </c>
      <c r="E41" s="26">
        <v>103826</v>
      </c>
      <c r="F41" s="26">
        <v>106720</v>
      </c>
      <c r="G41" s="26">
        <v>108562</v>
      </c>
      <c r="H41" s="26">
        <f>76639+63940</f>
        <v>140579</v>
      </c>
      <c r="I41" s="26"/>
      <c r="J41" s="26">
        <f>78630+65999</f>
        <v>144629</v>
      </c>
      <c r="K41" s="27"/>
      <c r="L41" s="47">
        <f>82000+68566</f>
        <v>150566</v>
      </c>
      <c r="M41" s="26">
        <v>149420</v>
      </c>
      <c r="N41" s="49">
        <v>149420</v>
      </c>
      <c r="O41" s="49">
        <v>149420</v>
      </c>
      <c r="P41" s="26"/>
      <c r="Q41" s="26"/>
      <c r="R41" s="28" t="s">
        <v>23</v>
      </c>
      <c r="S41" s="7"/>
    </row>
    <row r="42" spans="1:19">
      <c r="A42" s="24">
        <v>19</v>
      </c>
      <c r="B42" s="24"/>
      <c r="C42" s="14"/>
      <c r="D42" s="25" t="s">
        <v>24</v>
      </c>
      <c r="E42" s="26">
        <v>3948</v>
      </c>
      <c r="F42" s="26">
        <v>3191</v>
      </c>
      <c r="G42" s="26">
        <v>3525</v>
      </c>
      <c r="H42" s="26">
        <v>4055</v>
      </c>
      <c r="I42" s="26"/>
      <c r="J42" s="26">
        <v>5055</v>
      </c>
      <c r="K42" s="27"/>
      <c r="L42" s="47">
        <v>4205</v>
      </c>
      <c r="M42" s="26">
        <v>4285</v>
      </c>
      <c r="N42" s="49">
        <v>4285</v>
      </c>
      <c r="O42" s="49">
        <v>4285</v>
      </c>
      <c r="P42" s="26"/>
      <c r="Q42" s="26"/>
      <c r="R42" s="28" t="s">
        <v>23</v>
      </c>
      <c r="S42" s="7"/>
    </row>
    <row r="43" spans="1:19" ht="6" customHeight="1">
      <c r="A43" s="14"/>
      <c r="B43" s="24"/>
      <c r="C43" s="14"/>
      <c r="D43" s="14"/>
      <c r="E43" s="26"/>
      <c r="F43" s="26"/>
      <c r="G43" s="26"/>
      <c r="H43" s="26"/>
      <c r="I43" s="26"/>
      <c r="J43" s="26"/>
      <c r="K43" s="27"/>
      <c r="L43" s="47"/>
      <c r="M43" s="26"/>
      <c r="N43" s="49"/>
      <c r="O43" s="49"/>
      <c r="P43" s="26"/>
      <c r="Q43" s="26"/>
      <c r="R43" s="28"/>
      <c r="S43" s="7"/>
    </row>
    <row r="44" spans="1:19">
      <c r="A44" s="14"/>
      <c r="B44" s="24">
        <v>162</v>
      </c>
      <c r="C44" s="25" t="s">
        <v>38</v>
      </c>
      <c r="D44" s="14"/>
      <c r="E44" s="26"/>
      <c r="F44" s="26"/>
      <c r="G44" s="26"/>
      <c r="H44" s="26"/>
      <c r="I44" s="26"/>
      <c r="J44" s="26"/>
      <c r="K44" s="27"/>
      <c r="L44" s="47"/>
      <c r="M44" s="26"/>
      <c r="N44" s="49"/>
      <c r="O44" s="49"/>
      <c r="P44" s="26"/>
      <c r="Q44" s="26"/>
      <c r="R44" s="28"/>
      <c r="S44" s="7"/>
    </row>
    <row r="45" spans="1:19">
      <c r="A45" s="24">
        <v>20</v>
      </c>
      <c r="B45" s="24"/>
      <c r="C45" s="14"/>
      <c r="D45" s="25" t="s">
        <v>22</v>
      </c>
      <c r="E45" s="26">
        <v>11330</v>
      </c>
      <c r="F45" s="26">
        <v>13127</v>
      </c>
      <c r="G45" s="26">
        <v>10784</v>
      </c>
      <c r="H45" s="26">
        <v>27234</v>
      </c>
      <c r="I45" s="26"/>
      <c r="J45" s="26">
        <v>15360</v>
      </c>
      <c r="K45" s="27"/>
      <c r="L45" s="47">
        <v>30993</v>
      </c>
      <c r="M45" s="26">
        <v>30993</v>
      </c>
      <c r="N45" s="49">
        <v>30993</v>
      </c>
      <c r="O45" s="49">
        <v>30993</v>
      </c>
      <c r="P45" s="26"/>
      <c r="Q45" s="26"/>
      <c r="R45" s="28" t="s">
        <v>23</v>
      </c>
      <c r="S45" s="7"/>
    </row>
    <row r="46" spans="1:19">
      <c r="A46" s="24">
        <v>21</v>
      </c>
      <c r="B46" s="24"/>
      <c r="C46" s="14"/>
      <c r="D46" s="25" t="s">
        <v>24</v>
      </c>
      <c r="E46" s="26">
        <v>12014</v>
      </c>
      <c r="F46" s="26">
        <v>13883</v>
      </c>
      <c r="G46" s="26">
        <v>10397</v>
      </c>
      <c r="H46" s="26">
        <v>15948</v>
      </c>
      <c r="I46" s="26"/>
      <c r="J46" s="26">
        <v>15427</v>
      </c>
      <c r="K46" s="27"/>
      <c r="L46" s="47">
        <v>26025</v>
      </c>
      <c r="M46" s="26">
        <v>10663</v>
      </c>
      <c r="N46" s="49">
        <v>10663</v>
      </c>
      <c r="O46" s="49">
        <v>10663</v>
      </c>
      <c r="P46" s="26"/>
      <c r="Q46" s="26"/>
      <c r="R46" s="28" t="s">
        <v>23</v>
      </c>
      <c r="S46" s="7"/>
    </row>
    <row r="47" spans="1:19" ht="6" customHeight="1">
      <c r="A47" s="14"/>
      <c r="B47" s="24"/>
      <c r="C47" s="14"/>
      <c r="D47" s="14"/>
      <c r="E47" s="26"/>
      <c r="F47" s="26"/>
      <c r="G47" s="26"/>
      <c r="H47" s="26"/>
      <c r="I47" s="26"/>
      <c r="J47" s="26"/>
      <c r="K47" s="27"/>
      <c r="L47" s="47"/>
      <c r="M47" s="26"/>
      <c r="N47" s="49"/>
      <c r="O47" s="49"/>
      <c r="P47" s="26"/>
      <c r="Q47" s="26"/>
      <c r="R47" s="28"/>
      <c r="S47" s="7"/>
    </row>
    <row r="48" spans="1:19">
      <c r="A48" s="14"/>
      <c r="B48" s="24">
        <v>163</v>
      </c>
      <c r="C48" s="25" t="s">
        <v>39</v>
      </c>
      <c r="D48" s="14"/>
      <c r="E48" s="26"/>
      <c r="F48" s="26"/>
      <c r="G48" s="26"/>
      <c r="H48" s="26"/>
      <c r="I48" s="26"/>
      <c r="J48" s="26"/>
      <c r="K48" s="27"/>
      <c r="L48" s="47"/>
      <c r="M48" s="26"/>
      <c r="N48" s="49"/>
      <c r="O48" s="49"/>
      <c r="P48" s="26"/>
      <c r="Q48" s="26"/>
      <c r="R48" s="28"/>
      <c r="S48" s="7"/>
    </row>
    <row r="49" spans="1:19">
      <c r="A49" s="24">
        <v>22</v>
      </c>
      <c r="B49" s="24"/>
      <c r="C49" s="14"/>
      <c r="D49" s="25" t="s">
        <v>22</v>
      </c>
      <c r="E49" s="26">
        <v>6016</v>
      </c>
      <c r="F49" s="26">
        <v>6715</v>
      </c>
      <c r="G49" s="26">
        <v>5691</v>
      </c>
      <c r="H49" s="26">
        <v>10298</v>
      </c>
      <c r="I49" s="26"/>
      <c r="J49" s="26">
        <v>8730</v>
      </c>
      <c r="K49" s="27"/>
      <c r="L49" s="47">
        <v>10100</v>
      </c>
      <c r="M49" s="26">
        <v>9466</v>
      </c>
      <c r="N49" s="49">
        <v>9466</v>
      </c>
      <c r="O49" s="49">
        <v>9466</v>
      </c>
      <c r="P49" s="26"/>
      <c r="Q49" s="26"/>
      <c r="R49" s="28" t="s">
        <v>23</v>
      </c>
      <c r="S49" s="7"/>
    </row>
    <row r="50" spans="1:19">
      <c r="A50" s="24">
        <v>23</v>
      </c>
      <c r="B50" s="24"/>
      <c r="C50" s="14"/>
      <c r="D50" s="25" t="s">
        <v>24</v>
      </c>
      <c r="E50" s="26">
        <v>1494</v>
      </c>
      <c r="F50" s="26">
        <v>1470</v>
      </c>
      <c r="G50" s="26">
        <v>1735</v>
      </c>
      <c r="H50" s="26">
        <f>1782</f>
        <v>1782</v>
      </c>
      <c r="I50" s="26"/>
      <c r="J50" s="26">
        <v>1782</v>
      </c>
      <c r="K50" s="27"/>
      <c r="L50" s="47">
        <v>1782</v>
      </c>
      <c r="M50" s="26">
        <v>1782</v>
      </c>
      <c r="N50" s="49">
        <v>1782</v>
      </c>
      <c r="O50" s="49">
        <v>1782</v>
      </c>
      <c r="P50" s="26"/>
      <c r="Q50" s="26"/>
      <c r="R50" s="28" t="s">
        <v>23</v>
      </c>
      <c r="S50" s="7"/>
    </row>
    <row r="51" spans="1:19">
      <c r="A51" s="14"/>
      <c r="B51" s="24"/>
      <c r="C51" s="14"/>
      <c r="D51" s="14"/>
      <c r="E51" s="26"/>
      <c r="F51" s="26"/>
      <c r="G51" s="26"/>
      <c r="H51" s="26"/>
      <c r="I51" s="26"/>
      <c r="J51" s="26"/>
      <c r="K51" s="27"/>
      <c r="L51" s="47"/>
      <c r="M51" s="26"/>
      <c r="N51" s="49"/>
      <c r="O51" s="49"/>
      <c r="P51" s="26"/>
      <c r="Q51" s="26"/>
      <c r="R51" s="28"/>
      <c r="S51" s="7"/>
    </row>
    <row r="52" spans="1:19">
      <c r="A52" s="14"/>
      <c r="B52" s="24">
        <v>171</v>
      </c>
      <c r="C52" s="25" t="s">
        <v>40</v>
      </c>
      <c r="D52" s="14"/>
      <c r="E52" s="26"/>
      <c r="F52" s="26"/>
      <c r="G52" s="26"/>
      <c r="H52" s="26"/>
      <c r="I52" s="26"/>
      <c r="J52" s="26"/>
      <c r="K52" s="27"/>
      <c r="L52" s="47"/>
      <c r="M52" s="26"/>
      <c r="N52" s="49"/>
      <c r="O52" s="49"/>
      <c r="P52" s="26"/>
      <c r="Q52" s="26"/>
      <c r="R52" s="28"/>
      <c r="S52" s="7"/>
    </row>
    <row r="53" spans="1:19">
      <c r="A53" s="24">
        <v>24</v>
      </c>
      <c r="B53" s="24"/>
      <c r="C53" s="25" t="s">
        <v>41</v>
      </c>
      <c r="D53" s="14"/>
      <c r="E53" s="26">
        <v>56489</v>
      </c>
      <c r="F53" s="26">
        <v>57535</v>
      </c>
      <c r="G53" s="26">
        <v>59420</v>
      </c>
      <c r="H53" s="26">
        <v>81373</v>
      </c>
      <c r="I53" s="26"/>
      <c r="J53" s="26">
        <f>78806+41547</f>
        <v>120353</v>
      </c>
      <c r="K53" s="27"/>
      <c r="L53" s="47">
        <v>100553</v>
      </c>
      <c r="M53" s="26">
        <v>123225</v>
      </c>
      <c r="N53" s="49">
        <v>123225</v>
      </c>
      <c r="O53" s="49">
        <v>123225</v>
      </c>
      <c r="P53" s="26"/>
      <c r="Q53" s="26"/>
      <c r="R53" s="33" t="s">
        <v>125</v>
      </c>
      <c r="S53" s="7"/>
    </row>
    <row r="54" spans="1:19">
      <c r="A54" s="24"/>
      <c r="B54" s="24"/>
      <c r="C54" s="25"/>
      <c r="D54" s="14"/>
      <c r="E54" s="26"/>
      <c r="F54" s="26"/>
      <c r="G54" s="26"/>
      <c r="H54" s="26"/>
      <c r="I54" s="26"/>
      <c r="J54" s="26"/>
      <c r="K54" s="27"/>
      <c r="L54" s="47"/>
      <c r="M54" s="26"/>
      <c r="N54" s="49"/>
      <c r="O54" s="49"/>
      <c r="P54" s="26"/>
      <c r="Q54" s="26"/>
      <c r="R54" s="28" t="s">
        <v>42</v>
      </c>
      <c r="S54" s="7"/>
    </row>
    <row r="55" spans="1:19">
      <c r="A55" s="24">
        <v>25</v>
      </c>
      <c r="B55" s="24"/>
      <c r="C55" s="25" t="s">
        <v>43</v>
      </c>
      <c r="D55" s="14"/>
      <c r="E55" s="26">
        <v>1626</v>
      </c>
      <c r="F55" s="26">
        <v>3268</v>
      </c>
      <c r="G55" s="26">
        <v>2110</v>
      </c>
      <c r="H55" s="26">
        <v>9835</v>
      </c>
      <c r="I55" s="26"/>
      <c r="J55" s="26">
        <v>10235</v>
      </c>
      <c r="K55" s="27"/>
      <c r="L55" s="47">
        <v>10235</v>
      </c>
      <c r="M55" s="26">
        <v>10235</v>
      </c>
      <c r="N55" s="49">
        <v>10235</v>
      </c>
      <c r="O55" s="49">
        <v>10235</v>
      </c>
      <c r="P55" s="26"/>
      <c r="Q55" s="26"/>
      <c r="R55" s="28" t="s">
        <v>23</v>
      </c>
      <c r="S55" s="7"/>
    </row>
    <row r="56" spans="1:19" ht="6" customHeight="1">
      <c r="A56" s="14"/>
      <c r="B56" s="24"/>
      <c r="C56" s="14"/>
      <c r="D56" s="14"/>
      <c r="E56" s="26"/>
      <c r="F56" s="26"/>
      <c r="G56" s="26"/>
      <c r="H56" s="26"/>
      <c r="I56" s="26"/>
      <c r="J56" s="26"/>
      <c r="K56" s="27"/>
      <c r="L56" s="47"/>
      <c r="M56" s="26"/>
      <c r="N56" s="49"/>
      <c r="O56" s="49"/>
      <c r="P56" s="26"/>
      <c r="Q56" s="26"/>
      <c r="R56" s="28"/>
      <c r="S56" s="7"/>
    </row>
    <row r="57" spans="1:19">
      <c r="A57" s="14"/>
      <c r="B57" s="24">
        <v>175</v>
      </c>
      <c r="C57" s="25" t="s">
        <v>44</v>
      </c>
      <c r="D57" s="14"/>
      <c r="E57" s="26"/>
      <c r="F57" s="26"/>
      <c r="G57" s="26"/>
      <c r="H57" s="26"/>
      <c r="I57" s="26"/>
      <c r="J57" s="26"/>
      <c r="K57" s="27"/>
      <c r="L57" s="47"/>
      <c r="M57" s="26"/>
      <c r="N57" s="49"/>
      <c r="O57" s="49"/>
      <c r="P57" s="26"/>
      <c r="Q57" s="26"/>
      <c r="R57" s="28"/>
      <c r="S57" s="7"/>
    </row>
    <row r="58" spans="1:19">
      <c r="A58" s="24">
        <v>26</v>
      </c>
      <c r="B58" s="14"/>
      <c r="C58" s="14"/>
      <c r="D58" s="25" t="s">
        <v>22</v>
      </c>
      <c r="E58" s="26">
        <v>57488</v>
      </c>
      <c r="F58" s="26">
        <v>58923</v>
      </c>
      <c r="G58" s="26">
        <v>60260</v>
      </c>
      <c r="H58" s="26">
        <f>81601+25677</f>
        <v>107278</v>
      </c>
      <c r="I58" s="26"/>
      <c r="J58" s="26">
        <f>83000+28100</f>
        <v>111100</v>
      </c>
      <c r="K58" s="27"/>
      <c r="L58" s="47">
        <f>96900+27704</f>
        <v>124604</v>
      </c>
      <c r="M58" s="26">
        <v>125276</v>
      </c>
      <c r="N58" s="49">
        <v>125276</v>
      </c>
      <c r="O58" s="49">
        <v>125276</v>
      </c>
      <c r="P58" s="26"/>
      <c r="Q58" s="26"/>
      <c r="R58" s="28" t="s">
        <v>23</v>
      </c>
      <c r="S58" s="7"/>
    </row>
    <row r="59" spans="1:19">
      <c r="A59" s="24">
        <v>27</v>
      </c>
      <c r="B59" s="24"/>
      <c r="C59" s="14"/>
      <c r="D59" s="25" t="s">
        <v>24</v>
      </c>
      <c r="E59" s="26">
        <v>1626</v>
      </c>
      <c r="F59" s="26">
        <f>1976+30</f>
        <v>2006</v>
      </c>
      <c r="G59" s="26">
        <v>3749</v>
      </c>
      <c r="H59" s="26">
        <v>4905</v>
      </c>
      <c r="I59" s="26"/>
      <c r="J59" s="26">
        <v>4900</v>
      </c>
      <c r="K59" s="27"/>
      <c r="L59" s="47">
        <v>4150</v>
      </c>
      <c r="M59" s="26">
        <v>3600</v>
      </c>
      <c r="N59" s="49">
        <v>3600</v>
      </c>
      <c r="O59" s="49">
        <v>3600</v>
      </c>
      <c r="P59" s="26"/>
      <c r="Q59" s="26"/>
      <c r="R59" s="28" t="s">
        <v>23</v>
      </c>
      <c r="S59" s="7"/>
    </row>
    <row r="60" spans="1:19" ht="9" customHeight="1">
      <c r="A60" s="14"/>
      <c r="B60" s="24"/>
      <c r="C60" s="14"/>
      <c r="D60" s="14"/>
      <c r="E60" s="26"/>
      <c r="F60" s="26"/>
      <c r="G60" s="26"/>
      <c r="H60" s="26"/>
      <c r="I60" s="26"/>
      <c r="J60" s="26"/>
      <c r="K60" s="27"/>
      <c r="L60" s="47"/>
      <c r="M60" s="26"/>
      <c r="N60" s="49"/>
      <c r="O60" s="49"/>
      <c r="P60" s="26"/>
      <c r="Q60" s="26"/>
      <c r="R60" s="28"/>
      <c r="S60" s="7"/>
    </row>
    <row r="61" spans="1:19">
      <c r="A61" s="14"/>
      <c r="B61" s="24">
        <v>176</v>
      </c>
      <c r="C61" s="25" t="s">
        <v>45</v>
      </c>
      <c r="D61" s="14"/>
      <c r="E61" s="26"/>
      <c r="F61" s="26"/>
      <c r="G61" s="26"/>
      <c r="H61" s="26"/>
      <c r="I61" s="26"/>
      <c r="J61" s="26"/>
      <c r="K61" s="27"/>
      <c r="L61" s="47"/>
      <c r="M61" s="26"/>
      <c r="N61" s="49"/>
      <c r="O61" s="49"/>
      <c r="P61" s="26"/>
      <c r="Q61" s="26"/>
      <c r="R61" s="28"/>
      <c r="S61" s="7"/>
    </row>
    <row r="62" spans="1:19">
      <c r="A62" s="24">
        <v>28</v>
      </c>
      <c r="B62" s="24"/>
      <c r="C62" s="14"/>
      <c r="D62" s="25" t="s">
        <v>22</v>
      </c>
      <c r="E62" s="26">
        <v>32636</v>
      </c>
      <c r="F62" s="26">
        <v>33430</v>
      </c>
      <c r="G62" s="26">
        <v>33787</v>
      </c>
      <c r="H62" s="26">
        <v>40550</v>
      </c>
      <c r="I62" s="26"/>
      <c r="J62" s="26">
        <v>41361</v>
      </c>
      <c r="K62" s="27"/>
      <c r="L62" s="47">
        <v>42191</v>
      </c>
      <c r="M62" s="26">
        <v>42191</v>
      </c>
      <c r="N62" s="49">
        <v>42191</v>
      </c>
      <c r="O62" s="49">
        <v>42191</v>
      </c>
      <c r="P62" s="26"/>
      <c r="Q62" s="26"/>
      <c r="R62" s="28" t="s">
        <v>23</v>
      </c>
      <c r="S62" s="7"/>
    </row>
    <row r="63" spans="1:19">
      <c r="A63" s="24">
        <v>29</v>
      </c>
      <c r="B63" s="24"/>
      <c r="C63" s="14"/>
      <c r="D63" s="25" t="s">
        <v>24</v>
      </c>
      <c r="E63" s="26">
        <v>385</v>
      </c>
      <c r="F63" s="26">
        <v>580</v>
      </c>
      <c r="G63" s="26">
        <v>327</v>
      </c>
      <c r="H63" s="26">
        <v>750</v>
      </c>
      <c r="I63" s="26"/>
      <c r="J63" s="26">
        <v>750</v>
      </c>
      <c r="K63" s="27"/>
      <c r="L63" s="47">
        <v>750</v>
      </c>
      <c r="M63" s="26">
        <v>750</v>
      </c>
      <c r="N63" s="49">
        <v>750</v>
      </c>
      <c r="O63" s="49">
        <v>750</v>
      </c>
      <c r="P63" s="26"/>
      <c r="Q63" s="26"/>
      <c r="R63" s="28" t="s">
        <v>23</v>
      </c>
      <c r="S63" s="7"/>
    </row>
    <row r="64" spans="1:19" ht="6" customHeight="1">
      <c r="A64" s="14"/>
      <c r="B64" s="24"/>
      <c r="C64" s="14"/>
      <c r="D64" s="14"/>
      <c r="E64" s="26"/>
      <c r="F64" s="26"/>
      <c r="G64" s="26"/>
      <c r="H64" s="26"/>
      <c r="I64" s="26"/>
      <c r="J64" s="26"/>
      <c r="K64" s="27"/>
      <c r="L64" s="47"/>
      <c r="M64" s="26"/>
      <c r="N64" s="49"/>
      <c r="O64" s="49"/>
      <c r="P64" s="26"/>
      <c r="Q64" s="26"/>
      <c r="R64" s="28"/>
      <c r="S64" s="7"/>
    </row>
    <row r="65" spans="1:19">
      <c r="A65" s="14"/>
      <c r="B65" s="24">
        <v>182</v>
      </c>
      <c r="C65" s="25" t="s">
        <v>46</v>
      </c>
      <c r="D65" s="14"/>
      <c r="E65" s="26"/>
      <c r="F65" s="26"/>
      <c r="G65" s="26"/>
      <c r="H65" s="26"/>
      <c r="I65" s="26"/>
      <c r="J65" s="26"/>
      <c r="K65" s="27"/>
      <c r="L65" s="47"/>
      <c r="M65" s="26"/>
      <c r="N65" s="49"/>
      <c r="O65" s="49"/>
      <c r="P65" s="26"/>
      <c r="Q65" s="26"/>
      <c r="R65" s="28"/>
      <c r="S65" s="7"/>
    </row>
    <row r="66" spans="1:19">
      <c r="A66" s="24">
        <v>30</v>
      </c>
      <c r="B66" s="24"/>
      <c r="C66" s="14"/>
      <c r="D66" s="25" t="s">
        <v>24</v>
      </c>
      <c r="E66" s="26">
        <v>0</v>
      </c>
      <c r="F66" s="26">
        <v>0</v>
      </c>
      <c r="G66" s="26">
        <v>0</v>
      </c>
      <c r="H66" s="26">
        <v>0</v>
      </c>
      <c r="I66" s="26"/>
      <c r="J66" s="26">
        <v>0</v>
      </c>
      <c r="K66" s="27"/>
      <c r="L66" s="47">
        <v>1500</v>
      </c>
      <c r="M66" s="26">
        <v>1500</v>
      </c>
      <c r="N66" s="49">
        <v>1500</v>
      </c>
      <c r="O66" s="49">
        <v>1500</v>
      </c>
      <c r="P66" s="26"/>
      <c r="Q66" s="26"/>
      <c r="R66" s="28" t="s">
        <v>23</v>
      </c>
      <c r="S66" s="7"/>
    </row>
    <row r="67" spans="1:19" ht="6" customHeight="1">
      <c r="A67" s="14"/>
      <c r="B67" s="24"/>
      <c r="C67" s="14"/>
      <c r="D67" s="14"/>
      <c r="E67" s="26"/>
      <c r="F67" s="26"/>
      <c r="G67" s="26"/>
      <c r="H67" s="26"/>
      <c r="I67" s="26"/>
      <c r="J67" s="26"/>
      <c r="K67" s="27"/>
      <c r="L67" s="47"/>
      <c r="M67" s="26"/>
      <c r="N67" s="49"/>
      <c r="O67" s="49"/>
      <c r="P67" s="26"/>
      <c r="Q67" s="26"/>
      <c r="R67" s="28"/>
      <c r="S67" s="7"/>
    </row>
    <row r="68" spans="1:19">
      <c r="A68" s="14"/>
      <c r="B68" s="24">
        <v>190</v>
      </c>
      <c r="C68" s="25" t="s">
        <v>47</v>
      </c>
      <c r="D68" s="14"/>
      <c r="E68" s="26"/>
      <c r="F68" s="26"/>
      <c r="G68" s="26"/>
      <c r="H68" s="26"/>
      <c r="I68" s="26"/>
      <c r="J68" s="26"/>
      <c r="K68" s="27"/>
      <c r="L68" s="47"/>
      <c r="M68" s="26"/>
      <c r="N68" s="49"/>
      <c r="O68" s="49"/>
      <c r="P68" s="26"/>
      <c r="Q68" s="26"/>
      <c r="R68" s="28"/>
      <c r="S68" s="7"/>
    </row>
    <row r="69" spans="1:19">
      <c r="A69" s="24">
        <v>31</v>
      </c>
      <c r="B69" s="24"/>
      <c r="C69" s="14"/>
      <c r="D69" s="25" t="s">
        <v>24</v>
      </c>
      <c r="E69" s="26">
        <v>24000</v>
      </c>
      <c r="F69" s="26">
        <v>24000</v>
      </c>
      <c r="G69" s="26">
        <v>26000</v>
      </c>
      <c r="H69" s="26">
        <v>35000</v>
      </c>
      <c r="I69" s="26"/>
      <c r="J69" s="26">
        <v>40000</v>
      </c>
      <c r="K69" s="27"/>
      <c r="L69" s="47">
        <v>42500</v>
      </c>
      <c r="M69" s="26">
        <v>42500</v>
      </c>
      <c r="N69" s="49">
        <v>42500</v>
      </c>
      <c r="O69" s="49">
        <v>42500</v>
      </c>
      <c r="P69" s="26"/>
      <c r="Q69" s="26"/>
      <c r="R69" s="28" t="s">
        <v>23</v>
      </c>
      <c r="S69" s="7"/>
    </row>
    <row r="70" spans="1:19" ht="6" customHeight="1">
      <c r="A70" s="14"/>
      <c r="B70" s="24"/>
      <c r="C70" s="14"/>
      <c r="D70" s="14"/>
      <c r="E70" s="26"/>
      <c r="F70" s="26"/>
      <c r="G70" s="26"/>
      <c r="H70" s="26"/>
      <c r="I70" s="26"/>
      <c r="J70" s="26"/>
      <c r="K70" s="27"/>
      <c r="L70" s="47"/>
      <c r="M70" s="26"/>
      <c r="N70" s="49"/>
      <c r="O70" s="49"/>
      <c r="P70" s="26"/>
      <c r="Q70" s="26"/>
      <c r="R70" s="28"/>
      <c r="S70" s="7"/>
    </row>
    <row r="71" spans="1:19">
      <c r="A71" s="14"/>
      <c r="B71" s="24">
        <v>192</v>
      </c>
      <c r="C71" s="25" t="s">
        <v>48</v>
      </c>
      <c r="D71" s="14"/>
      <c r="E71" s="26"/>
      <c r="F71" s="26"/>
      <c r="G71" s="26"/>
      <c r="H71" s="26"/>
      <c r="I71" s="26"/>
      <c r="J71" s="26"/>
      <c r="K71" s="27"/>
      <c r="L71" s="47"/>
      <c r="M71" s="26"/>
      <c r="N71" s="49"/>
      <c r="O71" s="49"/>
      <c r="P71" s="26"/>
      <c r="Q71" s="26"/>
      <c r="R71" s="28"/>
      <c r="S71" s="7"/>
    </row>
    <row r="72" spans="1:19">
      <c r="A72" s="24">
        <v>32</v>
      </c>
      <c r="B72" s="24"/>
      <c r="C72" s="14"/>
      <c r="D72" s="25" t="s">
        <v>22</v>
      </c>
      <c r="E72" s="26">
        <v>49772</v>
      </c>
      <c r="F72" s="26">
        <v>50173</v>
      </c>
      <c r="G72" s="26">
        <v>51508</v>
      </c>
      <c r="H72" s="26">
        <v>55182</v>
      </c>
      <c r="I72" s="26"/>
      <c r="J72" s="26">
        <f>59854</f>
        <v>59854</v>
      </c>
      <c r="K72" s="27"/>
      <c r="L72" s="47">
        <v>100788</v>
      </c>
      <c r="M72" s="26">
        <v>143673</v>
      </c>
      <c r="N72" s="49">
        <f>143673-80000</f>
        <v>63673</v>
      </c>
      <c r="O72" s="49">
        <v>143673</v>
      </c>
      <c r="P72" s="26">
        <f>O72-N72</f>
        <v>80000</v>
      </c>
      <c r="Q72" s="26" t="s">
        <v>49</v>
      </c>
      <c r="R72" s="28" t="s">
        <v>23</v>
      </c>
      <c r="S72" s="7"/>
    </row>
    <row r="73" spans="1:19">
      <c r="A73" s="24">
        <v>33</v>
      </c>
      <c r="B73" s="24"/>
      <c r="C73" s="14"/>
      <c r="D73" s="25" t="s">
        <v>24</v>
      </c>
      <c r="E73" s="26">
        <f>34781+14</f>
        <v>34795</v>
      </c>
      <c r="F73" s="26">
        <v>31705</v>
      </c>
      <c r="G73" s="26">
        <f>40926+28000</f>
        <v>68926</v>
      </c>
      <c r="H73" s="26">
        <v>49500</v>
      </c>
      <c r="I73" s="26"/>
      <c r="J73" s="26">
        <v>51000</v>
      </c>
      <c r="K73" s="27"/>
      <c r="L73" s="47">
        <v>39500</v>
      </c>
      <c r="M73" s="26">
        <v>74800</v>
      </c>
      <c r="N73" s="49">
        <v>74800</v>
      </c>
      <c r="O73" s="49">
        <v>74800</v>
      </c>
      <c r="P73" s="26"/>
      <c r="Q73" s="26"/>
      <c r="R73" s="28" t="s">
        <v>23</v>
      </c>
      <c r="S73" s="7"/>
    </row>
    <row r="74" spans="1:19" ht="6" customHeight="1">
      <c r="A74" s="14"/>
      <c r="B74" s="24"/>
      <c r="C74" s="14"/>
      <c r="D74" s="14"/>
      <c r="E74" s="26"/>
      <c r="F74" s="26"/>
      <c r="G74" s="26"/>
      <c r="H74" s="26"/>
      <c r="I74" s="26"/>
      <c r="J74" s="26"/>
      <c r="K74" s="27"/>
      <c r="L74" s="47"/>
      <c r="M74" s="26"/>
      <c r="N74" s="49"/>
      <c r="O74" s="49"/>
      <c r="P74" s="26"/>
      <c r="Q74" s="26"/>
      <c r="R74" s="28"/>
      <c r="S74" s="7"/>
    </row>
    <row r="75" spans="1:19">
      <c r="A75" s="14"/>
      <c r="B75" s="24">
        <v>193</v>
      </c>
      <c r="C75" s="25" t="s">
        <v>50</v>
      </c>
      <c r="D75" s="14"/>
      <c r="E75" s="26"/>
      <c r="F75" s="26"/>
      <c r="G75" s="26"/>
      <c r="H75" s="26"/>
      <c r="I75" s="26"/>
      <c r="J75" s="26"/>
      <c r="K75" s="27"/>
      <c r="L75" s="47"/>
      <c r="M75" s="26"/>
      <c r="N75" s="49"/>
      <c r="O75" s="49"/>
      <c r="P75" s="26"/>
      <c r="Q75" s="26"/>
      <c r="R75" s="28"/>
      <c r="S75" s="7"/>
    </row>
    <row r="76" spans="1:19">
      <c r="A76" s="24">
        <v>34</v>
      </c>
      <c r="B76" s="24"/>
      <c r="C76" s="14"/>
      <c r="D76" s="25" t="s">
        <v>24</v>
      </c>
      <c r="E76" s="26">
        <f>104414+733</f>
        <v>105147</v>
      </c>
      <c r="F76" s="26">
        <f>102171+33</f>
        <v>102204</v>
      </c>
      <c r="G76" s="26">
        <v>110240</v>
      </c>
      <c r="H76" s="26">
        <v>147000</v>
      </c>
      <c r="I76" s="26"/>
      <c r="J76" s="26">
        <v>147000</v>
      </c>
      <c r="K76" s="27"/>
      <c r="L76" s="47">
        <v>150000</v>
      </c>
      <c r="M76" s="26">
        <v>159500</v>
      </c>
      <c r="N76" s="49">
        <v>159500</v>
      </c>
      <c r="O76" s="49">
        <v>159500</v>
      </c>
      <c r="P76" s="26"/>
      <c r="Q76" s="26"/>
      <c r="R76" s="28" t="s">
        <v>23</v>
      </c>
      <c r="S76" s="7"/>
    </row>
    <row r="77" spans="1:19" ht="6" customHeight="1">
      <c r="A77" s="14"/>
      <c r="B77" s="24"/>
      <c r="C77" s="14"/>
      <c r="D77" s="14"/>
      <c r="E77" s="26"/>
      <c r="F77" s="26"/>
      <c r="G77" s="26"/>
      <c r="H77" s="26"/>
      <c r="I77" s="26"/>
      <c r="J77" s="26"/>
      <c r="K77" s="27"/>
      <c r="L77" s="47"/>
      <c r="M77" s="26"/>
      <c r="N77" s="49"/>
      <c r="O77" s="49"/>
      <c r="P77" s="26"/>
      <c r="Q77" s="26"/>
      <c r="R77" s="28"/>
      <c r="S77" s="7"/>
    </row>
    <row r="78" spans="1:19" ht="6" customHeight="1">
      <c r="A78" s="14"/>
      <c r="B78" s="24"/>
      <c r="C78" s="14"/>
      <c r="D78" s="14"/>
      <c r="E78" s="26"/>
      <c r="F78" s="26"/>
      <c r="G78" s="26"/>
      <c r="H78" s="26"/>
      <c r="I78" s="26"/>
      <c r="J78" s="26"/>
      <c r="K78" s="27"/>
      <c r="L78" s="47"/>
      <c r="M78" s="26"/>
      <c r="N78" s="49"/>
      <c r="O78" s="49"/>
      <c r="P78" s="26"/>
      <c r="Q78" s="26"/>
      <c r="R78" s="28"/>
      <c r="S78" s="7"/>
    </row>
    <row r="79" spans="1:19">
      <c r="A79" s="14"/>
      <c r="B79" s="24"/>
      <c r="C79" s="14"/>
      <c r="D79" s="34" t="s">
        <v>51</v>
      </c>
      <c r="E79" s="26">
        <f>SUM(E8:E77)</f>
        <v>1600081</v>
      </c>
      <c r="F79" s="26">
        <f>SUM(F8:F77)</f>
        <v>1512784</v>
      </c>
      <c r="G79" s="26">
        <f>SUM(G8:G77)</f>
        <v>1543548</v>
      </c>
      <c r="H79" s="26">
        <f>SUBTOTAL(9,H8:H77)</f>
        <v>2166622</v>
      </c>
      <c r="I79" s="26"/>
      <c r="J79" s="26">
        <f>SUBTOTAL(9,J8:J77)</f>
        <v>2255377</v>
      </c>
      <c r="K79" s="27"/>
      <c r="L79" s="47">
        <f>SUBTOTAL(9,L8:L77)</f>
        <v>2311790</v>
      </c>
      <c r="M79" s="26">
        <f>SUBTOTAL(9,M8:M77)</f>
        <v>2558315</v>
      </c>
      <c r="N79" s="49">
        <f>SUBTOTAL(9,N8:N77)</f>
        <v>2428315</v>
      </c>
      <c r="O79" s="49">
        <f>SUBTOTAL(9,O8:O77)</f>
        <v>2558315</v>
      </c>
      <c r="P79" s="26"/>
      <c r="Q79" s="26"/>
      <c r="R79" s="28"/>
      <c r="S79" s="7"/>
    </row>
    <row r="80" spans="1:19">
      <c r="A80" s="14"/>
      <c r="B80" s="24"/>
      <c r="C80" s="14"/>
      <c r="D80" s="14"/>
      <c r="E80" s="27"/>
      <c r="F80" s="27"/>
      <c r="G80" s="27"/>
      <c r="H80" s="35"/>
      <c r="I80" s="14"/>
      <c r="J80" s="35">
        <f>(J79-H79)/H79</f>
        <v>4.0964690656699693E-2</v>
      </c>
      <c r="K80" s="27"/>
      <c r="L80" s="48">
        <f>(L79-J79)/J79</f>
        <v>2.5012669722179484E-2</v>
      </c>
      <c r="M80" s="35">
        <f>(M79-L79)/L79</f>
        <v>0.10663814619840037</v>
      </c>
      <c r="N80" s="57">
        <f>(N79-L79)/L79</f>
        <v>5.0404664783565985E-2</v>
      </c>
      <c r="O80" s="57">
        <f>(O79-L79)/L79</f>
        <v>0.10663814619840037</v>
      </c>
      <c r="P80" s="35"/>
      <c r="Q80" s="35"/>
      <c r="R80" s="28"/>
      <c r="S80" s="7"/>
    </row>
    <row r="81" spans="1:19">
      <c r="A81" s="14"/>
      <c r="B81" s="24"/>
      <c r="C81" s="14"/>
      <c r="D81" s="14"/>
      <c r="E81" s="27"/>
      <c r="F81" s="27"/>
      <c r="G81" s="27"/>
      <c r="H81" s="27"/>
      <c r="I81" s="27"/>
      <c r="J81" s="14"/>
      <c r="K81" s="27"/>
      <c r="L81" s="47"/>
      <c r="M81" s="26"/>
      <c r="N81" s="49"/>
      <c r="O81" s="49"/>
      <c r="P81" s="26"/>
      <c r="Q81" s="26"/>
      <c r="R81" s="28"/>
      <c r="S81" s="7"/>
    </row>
    <row r="82" spans="1:19">
      <c r="A82" s="14"/>
      <c r="B82" s="15" t="s">
        <v>52</v>
      </c>
      <c r="C82" s="14"/>
      <c r="D82" s="14"/>
      <c r="E82" s="26"/>
      <c r="F82" s="26"/>
      <c r="G82" s="26"/>
      <c r="H82" s="26"/>
      <c r="I82" s="26"/>
      <c r="J82" s="14"/>
      <c r="K82" s="27"/>
      <c r="L82" s="47"/>
      <c r="M82" s="14"/>
      <c r="N82" s="58"/>
      <c r="O82" s="58"/>
      <c r="P82" s="14"/>
      <c r="Q82" s="14"/>
      <c r="R82" s="28"/>
      <c r="S82" s="7"/>
    </row>
    <row r="83" spans="1:19">
      <c r="A83" s="14"/>
      <c r="B83" s="24">
        <v>210</v>
      </c>
      <c r="C83" s="25" t="s">
        <v>53</v>
      </c>
      <c r="D83" s="14"/>
      <c r="E83" s="26"/>
      <c r="F83" s="26"/>
      <c r="G83" s="26"/>
      <c r="H83" s="26"/>
      <c r="I83" s="26"/>
      <c r="J83" s="26"/>
      <c r="K83" s="27"/>
      <c r="L83" s="47"/>
      <c r="M83" s="26"/>
      <c r="N83" s="49"/>
      <c r="O83" s="49"/>
      <c r="P83" s="26"/>
      <c r="Q83" s="26"/>
      <c r="R83" s="28"/>
      <c r="S83" s="7"/>
    </row>
    <row r="84" spans="1:19">
      <c r="A84" s="24">
        <v>35</v>
      </c>
      <c r="B84" s="24"/>
      <c r="C84" s="14"/>
      <c r="D84" s="25" t="s">
        <v>22</v>
      </c>
      <c r="E84" s="26">
        <v>1664840</v>
      </c>
      <c r="F84" s="26">
        <v>1680612</v>
      </c>
      <c r="G84" s="26">
        <v>1695786</v>
      </c>
      <c r="H84" s="26">
        <f>170034+2452167</f>
        <v>2622201</v>
      </c>
      <c r="I84" s="26"/>
      <c r="J84" s="26">
        <f>177205+2642045</f>
        <v>2819250</v>
      </c>
      <c r="K84" s="27"/>
      <c r="L84" s="47">
        <f>207174+2732503</f>
        <v>2939677</v>
      </c>
      <c r="M84" s="26">
        <v>3055080</v>
      </c>
      <c r="N84" s="49">
        <f>3055080-79500</f>
        <v>2975580</v>
      </c>
      <c r="O84" s="49">
        <v>3055080</v>
      </c>
      <c r="P84" s="26">
        <f>O84-N84</f>
        <v>79500</v>
      </c>
      <c r="Q84" s="26" t="s">
        <v>54</v>
      </c>
      <c r="R84" s="28" t="s">
        <v>23</v>
      </c>
      <c r="S84" s="7"/>
    </row>
    <row r="85" spans="1:19">
      <c r="A85" s="24">
        <v>36</v>
      </c>
      <c r="B85" s="24"/>
      <c r="C85" s="14"/>
      <c r="D85" s="25" t="s">
        <v>24</v>
      </c>
      <c r="E85" s="26">
        <v>170312</v>
      </c>
      <c r="F85" s="26">
        <f>174970+594</f>
        <v>175564</v>
      </c>
      <c r="G85" s="26">
        <f>200391+1680</f>
        <v>202071</v>
      </c>
      <c r="H85" s="26">
        <v>467100</v>
      </c>
      <c r="I85" s="26"/>
      <c r="J85" s="26">
        <v>386800</v>
      </c>
      <c r="K85" s="27"/>
      <c r="L85" s="47">
        <v>327300</v>
      </c>
      <c r="M85" s="26">
        <v>618750</v>
      </c>
      <c r="N85" s="49">
        <f>618750-216000</f>
        <v>402750</v>
      </c>
      <c r="O85" s="49">
        <v>618750</v>
      </c>
      <c r="P85" s="26">
        <f>O85-N85</f>
        <v>216000</v>
      </c>
      <c r="Q85" s="26" t="s">
        <v>55</v>
      </c>
      <c r="R85" s="28" t="s">
        <v>23</v>
      </c>
      <c r="S85" s="7"/>
    </row>
    <row r="86" spans="1:19">
      <c r="A86" s="24">
        <v>37</v>
      </c>
      <c r="B86" s="24"/>
      <c r="C86" s="14"/>
      <c r="D86" s="25" t="s">
        <v>25</v>
      </c>
      <c r="E86" s="26">
        <f>78129+25000</f>
        <v>103129</v>
      </c>
      <c r="F86" s="26">
        <v>165897</v>
      </c>
      <c r="G86" s="26">
        <v>136904</v>
      </c>
      <c r="H86" s="26">
        <v>0</v>
      </c>
      <c r="I86" s="26"/>
      <c r="J86" s="26">
        <v>0</v>
      </c>
      <c r="K86" s="27"/>
      <c r="L86" s="47">
        <v>140000</v>
      </c>
      <c r="M86" s="26">
        <v>0</v>
      </c>
      <c r="N86" s="49">
        <v>0</v>
      </c>
      <c r="O86" s="49">
        <v>0</v>
      </c>
      <c r="P86" s="26"/>
      <c r="Q86" s="26"/>
      <c r="R86" s="28"/>
      <c r="S86" s="7"/>
    </row>
    <row r="87" spans="1:19" ht="6" customHeight="1">
      <c r="A87" s="14"/>
      <c r="B87" s="14"/>
      <c r="C87" s="14"/>
      <c r="D87" s="14"/>
      <c r="E87" s="26"/>
      <c r="F87" s="26"/>
      <c r="G87" s="26"/>
      <c r="H87" s="26"/>
      <c r="I87" s="26"/>
      <c r="J87" s="26"/>
      <c r="K87" s="27"/>
      <c r="L87" s="47"/>
      <c r="M87" s="26"/>
      <c r="N87" s="49"/>
      <c r="O87" s="49"/>
      <c r="P87" s="26"/>
      <c r="Q87" s="26"/>
      <c r="R87" s="28"/>
      <c r="S87" s="7"/>
    </row>
    <row r="88" spans="1:19">
      <c r="A88" s="14"/>
      <c r="B88" s="24">
        <v>215</v>
      </c>
      <c r="C88" s="25" t="s">
        <v>56</v>
      </c>
      <c r="D88" s="14"/>
      <c r="E88" s="26"/>
      <c r="F88" s="26"/>
      <c r="G88" s="26"/>
      <c r="H88" s="26"/>
      <c r="I88" s="26"/>
      <c r="J88" s="26"/>
      <c r="K88" s="27"/>
      <c r="L88" s="47"/>
      <c r="M88" s="26"/>
      <c r="N88" s="49"/>
      <c r="O88" s="49"/>
      <c r="P88" s="26"/>
      <c r="Q88" s="26"/>
      <c r="R88" s="28"/>
      <c r="S88" s="7"/>
    </row>
    <row r="89" spans="1:19">
      <c r="A89" s="24">
        <v>38</v>
      </c>
      <c r="B89" s="24"/>
      <c r="C89" s="14"/>
      <c r="D89" s="25" t="s">
        <v>22</v>
      </c>
      <c r="E89" s="26">
        <v>295138</v>
      </c>
      <c r="F89" s="26">
        <v>293305</v>
      </c>
      <c r="G89" s="26">
        <v>279417</v>
      </c>
      <c r="H89" s="26">
        <v>0</v>
      </c>
      <c r="I89" s="26"/>
      <c r="J89" s="26">
        <v>0</v>
      </c>
      <c r="K89" s="26"/>
      <c r="L89" s="47">
        <v>0</v>
      </c>
      <c r="M89" s="26">
        <v>0</v>
      </c>
      <c r="N89" s="49">
        <v>0</v>
      </c>
      <c r="O89" s="49">
        <v>0</v>
      </c>
      <c r="P89" s="26"/>
      <c r="Q89" s="26"/>
      <c r="R89" s="28" t="s">
        <v>23</v>
      </c>
      <c r="S89" s="7"/>
    </row>
    <row r="90" spans="1:19">
      <c r="A90" s="24">
        <v>39</v>
      </c>
      <c r="B90" s="24"/>
      <c r="C90" s="14"/>
      <c r="D90" s="25" t="s">
        <v>24</v>
      </c>
      <c r="E90" s="26">
        <v>30107</v>
      </c>
      <c r="F90" s="26">
        <v>35543</v>
      </c>
      <c r="G90" s="26">
        <v>30331</v>
      </c>
      <c r="H90" s="26">
        <v>36200</v>
      </c>
      <c r="I90" s="26"/>
      <c r="J90" s="26">
        <v>238400</v>
      </c>
      <c r="K90" s="27"/>
      <c r="L90" s="47">
        <v>338400</v>
      </c>
      <c r="M90" s="26">
        <v>338000</v>
      </c>
      <c r="N90" s="49">
        <v>338000</v>
      </c>
      <c r="O90" s="49">
        <v>338000</v>
      </c>
      <c r="P90" s="26"/>
      <c r="Q90" s="26"/>
      <c r="R90" s="28" t="s">
        <v>23</v>
      </c>
      <c r="S90" s="7"/>
    </row>
    <row r="91" spans="1:19" ht="7.5" customHeight="1">
      <c r="A91" s="14"/>
      <c r="B91" s="24"/>
      <c r="C91" s="14"/>
      <c r="D91" s="14"/>
      <c r="E91" s="26"/>
      <c r="F91" s="26"/>
      <c r="G91" s="26"/>
      <c r="H91" s="26"/>
      <c r="I91" s="26"/>
      <c r="J91" s="26"/>
      <c r="K91" s="27"/>
      <c r="L91" s="47"/>
      <c r="M91" s="26"/>
      <c r="N91" s="49"/>
      <c r="O91" s="49"/>
      <c r="P91" s="26"/>
      <c r="Q91" s="26"/>
      <c r="R91" s="28"/>
      <c r="S91" s="7"/>
    </row>
    <row r="92" spans="1:19">
      <c r="A92" s="14"/>
      <c r="B92" s="24">
        <v>220</v>
      </c>
      <c r="C92" s="25" t="s">
        <v>57</v>
      </c>
      <c r="D92" s="14"/>
      <c r="E92" s="26"/>
      <c r="F92" s="26"/>
      <c r="G92" s="26"/>
      <c r="H92" s="26"/>
      <c r="I92" s="26"/>
      <c r="J92" s="26"/>
      <c r="K92" s="27"/>
      <c r="L92" s="47"/>
      <c r="M92" s="26"/>
      <c r="N92" s="49"/>
      <c r="O92" s="49"/>
      <c r="P92" s="26"/>
      <c r="Q92" s="26"/>
      <c r="R92" s="28"/>
      <c r="S92" s="7"/>
    </row>
    <row r="93" spans="1:19">
      <c r="A93" s="24">
        <v>40</v>
      </c>
      <c r="B93" s="24"/>
      <c r="C93" s="14"/>
      <c r="D93" s="25" t="s">
        <v>22</v>
      </c>
      <c r="E93" s="26">
        <v>1533317</v>
      </c>
      <c r="F93" s="26">
        <v>1593200</v>
      </c>
      <c r="G93" s="26">
        <v>1601445</v>
      </c>
      <c r="H93" s="26">
        <f>154832+2022804+50000+55246</f>
        <v>2282882</v>
      </c>
      <c r="I93" s="26"/>
      <c r="J93" s="26">
        <f>154832+2091620+50000+59007</f>
        <v>2355459</v>
      </c>
      <c r="K93" s="27"/>
      <c r="L93" s="47">
        <f>191374+2111621+50000+60463</f>
        <v>2413458</v>
      </c>
      <c r="M93" s="26">
        <v>2491207</v>
      </c>
      <c r="N93" s="49">
        <f>2491207-79500</f>
        <v>2411707</v>
      </c>
      <c r="O93" s="49">
        <v>2491207</v>
      </c>
      <c r="P93" s="26">
        <f>O93-N93</f>
        <v>79500</v>
      </c>
      <c r="Q93" s="26" t="s">
        <v>58</v>
      </c>
      <c r="R93" s="28" t="s">
        <v>129</v>
      </c>
      <c r="S93" s="7"/>
    </row>
    <row r="94" spans="1:19" ht="15">
      <c r="A94" s="14"/>
      <c r="B94" s="24"/>
      <c r="C94" s="14"/>
      <c r="D94" s="14"/>
      <c r="E94" s="26"/>
      <c r="F94" s="26"/>
      <c r="G94" s="26"/>
      <c r="H94" s="26"/>
      <c r="I94" s="26"/>
      <c r="J94" s="26"/>
      <c r="K94" s="27"/>
      <c r="L94" s="47"/>
      <c r="M94" s="49">
        <v>344000</v>
      </c>
      <c r="N94" s="49">
        <v>0</v>
      </c>
      <c r="O94" s="49">
        <v>344000</v>
      </c>
      <c r="P94" s="26">
        <f>O94-N94</f>
        <v>344000</v>
      </c>
      <c r="Q94" s="26" t="s">
        <v>59</v>
      </c>
      <c r="R94" s="36" t="s">
        <v>23</v>
      </c>
      <c r="S94" s="9"/>
    </row>
    <row r="95" spans="1:19">
      <c r="A95" s="24">
        <v>41</v>
      </c>
      <c r="B95" s="24"/>
      <c r="C95" s="14"/>
      <c r="D95" s="25" t="s">
        <v>24</v>
      </c>
      <c r="E95" s="26">
        <f>187326+26</f>
        <v>187352</v>
      </c>
      <c r="F95" s="26">
        <f>188648+751</f>
        <v>189399</v>
      </c>
      <c r="G95" s="26">
        <f>199245+13553</f>
        <v>212798</v>
      </c>
      <c r="H95" s="26">
        <f>231030+4500</f>
        <v>235530</v>
      </c>
      <c r="I95" s="26"/>
      <c r="J95" s="26">
        <f>224530+4500</f>
        <v>229030</v>
      </c>
      <c r="K95" s="27"/>
      <c r="L95" s="47">
        <f>291331+4500</f>
        <v>295831</v>
      </c>
      <c r="M95" s="26">
        <v>304020</v>
      </c>
      <c r="N95" s="49">
        <v>304020</v>
      </c>
      <c r="O95" s="49">
        <v>304020</v>
      </c>
      <c r="P95" s="26"/>
      <c r="Q95" s="26"/>
      <c r="R95" s="28" t="s">
        <v>128</v>
      </c>
      <c r="S95" s="7"/>
    </row>
    <row r="96" spans="1:19" ht="15">
      <c r="A96" s="14"/>
      <c r="B96" s="24"/>
      <c r="C96" s="14"/>
      <c r="D96" s="14"/>
      <c r="E96" s="26"/>
      <c r="F96" s="26"/>
      <c r="G96" s="26"/>
      <c r="H96" s="26"/>
      <c r="I96" s="26"/>
      <c r="J96" s="26"/>
      <c r="K96" s="27"/>
      <c r="L96" s="47"/>
      <c r="M96" s="26"/>
      <c r="N96" s="49"/>
      <c r="O96" s="49"/>
      <c r="P96" s="26"/>
      <c r="Q96" s="26"/>
      <c r="R96" s="36" t="s">
        <v>60</v>
      </c>
      <c r="S96" s="9"/>
    </row>
    <row r="97" spans="1:19">
      <c r="A97" s="24">
        <v>42</v>
      </c>
      <c r="B97" s="24"/>
      <c r="C97" s="14"/>
      <c r="D97" s="25" t="s">
        <v>25</v>
      </c>
      <c r="E97" s="26">
        <v>0</v>
      </c>
      <c r="F97" s="26">
        <v>0</v>
      </c>
      <c r="G97" s="26">
        <v>7452</v>
      </c>
      <c r="H97" s="26">
        <v>0</v>
      </c>
      <c r="I97" s="26"/>
      <c r="J97" s="26">
        <v>0</v>
      </c>
      <c r="K97" s="27"/>
      <c r="L97" s="47">
        <v>0</v>
      </c>
      <c r="M97" s="26">
        <v>0</v>
      </c>
      <c r="N97" s="49">
        <v>0</v>
      </c>
      <c r="O97" s="49">
        <v>0</v>
      </c>
      <c r="P97" s="26"/>
      <c r="Q97" s="26"/>
      <c r="R97" s="28"/>
      <c r="S97" s="7"/>
    </row>
    <row r="98" spans="1:19" ht="7.5" customHeight="1">
      <c r="A98" s="14"/>
      <c r="B98" s="24"/>
      <c r="C98" s="14"/>
      <c r="D98" s="14"/>
      <c r="E98" s="26"/>
      <c r="F98" s="26"/>
      <c r="G98" s="26"/>
      <c r="H98" s="26"/>
      <c r="I98" s="26"/>
      <c r="J98" s="26"/>
      <c r="K98" s="27"/>
      <c r="L98" s="47"/>
      <c r="M98" s="26"/>
      <c r="N98" s="49"/>
      <c r="O98" s="49"/>
      <c r="P98" s="26"/>
      <c r="Q98" s="26"/>
      <c r="R98" s="28"/>
      <c r="S98" s="7"/>
    </row>
    <row r="99" spans="1:19">
      <c r="A99" s="14"/>
      <c r="B99" s="24">
        <v>241</v>
      </c>
      <c r="C99" s="25" t="s">
        <v>61</v>
      </c>
      <c r="D99" s="14"/>
      <c r="E99" s="26"/>
      <c r="F99" s="26"/>
      <c r="G99" s="26"/>
      <c r="H99" s="26"/>
      <c r="I99" s="26"/>
      <c r="J99" s="26"/>
      <c r="K99" s="27"/>
      <c r="L99" s="47"/>
      <c r="M99" s="26"/>
      <c r="N99" s="49"/>
      <c r="O99" s="49"/>
      <c r="P99" s="26"/>
      <c r="Q99" s="26"/>
      <c r="R99" s="28"/>
      <c r="S99" s="7"/>
    </row>
    <row r="100" spans="1:19">
      <c r="A100" s="24">
        <v>43</v>
      </c>
      <c r="B100" s="24"/>
      <c r="C100" s="14"/>
      <c r="D100" s="25" t="s">
        <v>22</v>
      </c>
      <c r="E100" s="26">
        <v>74228</v>
      </c>
      <c r="F100" s="26">
        <v>76125</v>
      </c>
      <c r="G100" s="26">
        <v>76963</v>
      </c>
      <c r="H100" s="26">
        <f>73864+57614</f>
        <v>131478</v>
      </c>
      <c r="I100" s="26"/>
      <c r="J100" s="26">
        <f>74984+54437</f>
        <v>129421</v>
      </c>
      <c r="K100" s="27"/>
      <c r="L100" s="47">
        <f>76771+55955</f>
        <v>132726</v>
      </c>
      <c r="M100" s="26">
        <v>154700</v>
      </c>
      <c r="N100" s="49">
        <v>154700</v>
      </c>
      <c r="O100" s="49">
        <v>154700</v>
      </c>
      <c r="P100" s="26"/>
      <c r="Q100" s="26"/>
      <c r="R100" s="28" t="s">
        <v>23</v>
      </c>
      <c r="S100" s="7"/>
    </row>
    <row r="101" spans="1:19">
      <c r="A101" s="24">
        <v>44</v>
      </c>
      <c r="B101" s="24"/>
      <c r="C101" s="14"/>
      <c r="D101" s="25" t="s">
        <v>24</v>
      </c>
      <c r="E101" s="26">
        <v>4477</v>
      </c>
      <c r="F101" s="26">
        <f>4394+30000</f>
        <v>34394</v>
      </c>
      <c r="G101" s="26">
        <v>1690</v>
      </c>
      <c r="H101" s="26">
        <v>7400</v>
      </c>
      <c r="I101" s="26"/>
      <c r="J101" s="26">
        <v>10145</v>
      </c>
      <c r="K101" s="27"/>
      <c r="L101" s="47">
        <v>9745</v>
      </c>
      <c r="M101" s="26">
        <v>9945</v>
      </c>
      <c r="N101" s="49">
        <v>9945</v>
      </c>
      <c r="O101" s="49">
        <v>9945</v>
      </c>
      <c r="P101" s="26"/>
      <c r="Q101" s="26"/>
      <c r="R101" s="28" t="s">
        <v>23</v>
      </c>
      <c r="S101" s="7"/>
    </row>
    <row r="102" spans="1:19" ht="7.5" customHeight="1">
      <c r="A102" s="14"/>
      <c r="B102" s="24"/>
      <c r="C102" s="14"/>
      <c r="D102" s="14"/>
      <c r="E102" s="26"/>
      <c r="F102" s="26"/>
      <c r="G102" s="26"/>
      <c r="H102" s="26"/>
      <c r="I102" s="26"/>
      <c r="J102" s="26"/>
      <c r="K102" s="27"/>
      <c r="L102" s="47"/>
      <c r="M102" s="26"/>
      <c r="N102" s="49"/>
      <c r="O102" s="49"/>
      <c r="P102" s="26"/>
      <c r="Q102" s="26"/>
      <c r="R102" s="28"/>
      <c r="S102" s="7"/>
    </row>
    <row r="103" spans="1:19">
      <c r="A103" s="14"/>
      <c r="B103" s="24">
        <v>242</v>
      </c>
      <c r="C103" s="25" t="s">
        <v>62</v>
      </c>
      <c r="D103" s="14"/>
      <c r="E103" s="26"/>
      <c r="F103" s="26"/>
      <c r="G103" s="26"/>
      <c r="H103" s="26"/>
      <c r="I103" s="26"/>
      <c r="J103" s="26"/>
      <c r="K103" s="27"/>
      <c r="L103" s="47"/>
      <c r="M103" s="26"/>
      <c r="N103" s="49"/>
      <c r="O103" s="49"/>
      <c r="P103" s="26"/>
      <c r="Q103" s="26"/>
      <c r="R103" s="28"/>
      <c r="S103" s="7"/>
    </row>
    <row r="104" spans="1:19">
      <c r="A104" s="24">
        <v>45</v>
      </c>
      <c r="B104" s="24"/>
      <c r="C104" s="14"/>
      <c r="D104" s="25" t="s">
        <v>22</v>
      </c>
      <c r="E104" s="26">
        <v>4211</v>
      </c>
      <c r="F104" s="26">
        <v>4878</v>
      </c>
      <c r="G104" s="26">
        <v>3944</v>
      </c>
      <c r="H104" s="26">
        <v>7378</v>
      </c>
      <c r="I104" s="26"/>
      <c r="J104" s="26">
        <v>6700</v>
      </c>
      <c r="K104" s="27"/>
      <c r="L104" s="47">
        <v>6700</v>
      </c>
      <c r="M104" s="26">
        <v>6000</v>
      </c>
      <c r="N104" s="49">
        <v>6000</v>
      </c>
      <c r="O104" s="49">
        <v>6000</v>
      </c>
      <c r="P104" s="26"/>
      <c r="Q104" s="26"/>
      <c r="R104" s="28" t="s">
        <v>23</v>
      </c>
      <c r="S104" s="7"/>
    </row>
    <row r="105" spans="1:19">
      <c r="A105" s="24">
        <v>46</v>
      </c>
      <c r="B105" s="24"/>
      <c r="C105" s="14"/>
      <c r="D105" s="25" t="s">
        <v>24</v>
      </c>
      <c r="E105" s="26"/>
      <c r="F105" s="26"/>
      <c r="G105" s="26"/>
      <c r="H105" s="26">
        <v>0</v>
      </c>
      <c r="I105" s="26"/>
      <c r="J105" s="26">
        <v>200</v>
      </c>
      <c r="K105" s="27"/>
      <c r="L105" s="47">
        <v>200</v>
      </c>
      <c r="M105" s="26">
        <v>200</v>
      </c>
      <c r="N105" s="49">
        <v>200</v>
      </c>
      <c r="O105" s="49">
        <v>200</v>
      </c>
      <c r="P105" s="26"/>
      <c r="Q105" s="26"/>
      <c r="R105" s="28"/>
      <c r="S105" s="7"/>
    </row>
    <row r="106" spans="1:19" ht="7.5" customHeight="1">
      <c r="A106" s="14"/>
      <c r="B106" s="24"/>
      <c r="C106" s="14"/>
      <c r="D106" s="14"/>
      <c r="E106" s="26"/>
      <c r="F106" s="26"/>
      <c r="G106" s="26"/>
      <c r="H106" s="26"/>
      <c r="I106" s="26"/>
      <c r="J106" s="26"/>
      <c r="K106" s="27"/>
      <c r="L106" s="47"/>
      <c r="M106" s="26"/>
      <c r="N106" s="49"/>
      <c r="O106" s="49"/>
      <c r="P106" s="26"/>
      <c r="Q106" s="26"/>
      <c r="R106" s="28"/>
      <c r="S106" s="7"/>
    </row>
    <row r="107" spans="1:19">
      <c r="A107" s="14"/>
      <c r="B107" s="24">
        <v>243</v>
      </c>
      <c r="C107" s="25" t="s">
        <v>63</v>
      </c>
      <c r="D107" s="14"/>
      <c r="E107" s="26"/>
      <c r="F107" s="26"/>
      <c r="G107" s="26"/>
      <c r="H107" s="26"/>
      <c r="I107" s="26"/>
      <c r="J107" s="26"/>
      <c r="K107" s="27"/>
      <c r="L107" s="47"/>
      <c r="M107" s="26"/>
      <c r="N107" s="49"/>
      <c r="O107" s="49"/>
      <c r="P107" s="26"/>
      <c r="Q107" s="26"/>
      <c r="R107" s="28"/>
      <c r="S107" s="7"/>
    </row>
    <row r="108" spans="1:19">
      <c r="A108" s="24">
        <v>47</v>
      </c>
      <c r="B108" s="24"/>
      <c r="C108" s="14"/>
      <c r="D108" s="25" t="s">
        <v>22</v>
      </c>
      <c r="E108" s="26">
        <v>4013</v>
      </c>
      <c r="F108" s="26">
        <v>4901</v>
      </c>
      <c r="G108" s="26">
        <v>3783</v>
      </c>
      <c r="H108" s="26">
        <v>7378</v>
      </c>
      <c r="I108" s="26"/>
      <c r="J108" s="26">
        <v>6700</v>
      </c>
      <c r="K108" s="27"/>
      <c r="L108" s="47">
        <v>6200</v>
      </c>
      <c r="M108" s="26">
        <v>6000</v>
      </c>
      <c r="N108" s="49">
        <v>6000</v>
      </c>
      <c r="O108" s="49">
        <v>6000</v>
      </c>
      <c r="P108" s="26"/>
      <c r="Q108" s="26"/>
      <c r="R108" s="28" t="s">
        <v>23</v>
      </c>
      <c r="S108" s="7"/>
    </row>
    <row r="109" spans="1:19">
      <c r="A109" s="24">
        <v>48</v>
      </c>
      <c r="B109" s="24"/>
      <c r="C109" s="14"/>
      <c r="D109" s="25" t="s">
        <v>24</v>
      </c>
      <c r="E109" s="26"/>
      <c r="F109" s="26"/>
      <c r="G109" s="26"/>
      <c r="H109" s="26">
        <v>0</v>
      </c>
      <c r="I109" s="26"/>
      <c r="J109" s="26">
        <v>200</v>
      </c>
      <c r="K109" s="27"/>
      <c r="L109" s="47">
        <v>500</v>
      </c>
      <c r="M109" s="26">
        <v>0</v>
      </c>
      <c r="N109" s="49">
        <v>0</v>
      </c>
      <c r="O109" s="49">
        <v>0</v>
      </c>
      <c r="P109" s="26"/>
      <c r="Q109" s="26"/>
      <c r="R109" s="28"/>
      <c r="S109" s="7"/>
    </row>
    <row r="110" spans="1:19" ht="7.5" customHeight="1">
      <c r="A110" s="14"/>
      <c r="B110" s="24"/>
      <c r="C110" s="14"/>
      <c r="D110" s="14"/>
      <c r="E110" s="26"/>
      <c r="F110" s="26"/>
      <c r="G110" s="26"/>
      <c r="H110" s="26"/>
      <c r="I110" s="26"/>
      <c r="J110" s="26"/>
      <c r="K110" s="27"/>
      <c r="L110" s="47"/>
      <c r="M110" s="26"/>
      <c r="N110" s="49"/>
      <c r="O110" s="49"/>
      <c r="P110" s="26"/>
      <c r="Q110" s="26"/>
      <c r="R110" s="28"/>
      <c r="S110" s="7"/>
    </row>
    <row r="111" spans="1:19">
      <c r="A111" s="14"/>
      <c r="B111" s="24">
        <v>244</v>
      </c>
      <c r="C111" s="25" t="s">
        <v>64</v>
      </c>
      <c r="D111" s="14"/>
      <c r="E111" s="26"/>
      <c r="F111" s="26"/>
      <c r="G111" s="26"/>
      <c r="H111" s="26"/>
      <c r="I111" s="26"/>
      <c r="J111" s="26"/>
      <c r="K111" s="27"/>
      <c r="L111" s="47"/>
      <c r="M111" s="26"/>
      <c r="N111" s="49"/>
      <c r="O111" s="49"/>
      <c r="P111" s="26"/>
      <c r="Q111" s="26"/>
      <c r="R111" s="28"/>
      <c r="S111" s="7"/>
    </row>
    <row r="112" spans="1:19">
      <c r="A112" s="24">
        <v>49</v>
      </c>
      <c r="B112" s="24"/>
      <c r="C112" s="14"/>
      <c r="D112" s="25" t="s">
        <v>22</v>
      </c>
      <c r="E112" s="26">
        <v>0</v>
      </c>
      <c r="F112" s="26">
        <v>2133</v>
      </c>
      <c r="G112" s="26">
        <v>3264</v>
      </c>
      <c r="H112" s="26">
        <v>3740</v>
      </c>
      <c r="I112" s="26"/>
      <c r="J112" s="26">
        <v>3815</v>
      </c>
      <c r="K112" s="27"/>
      <c r="L112" s="47">
        <v>3920</v>
      </c>
      <c r="M112" s="26">
        <v>4300</v>
      </c>
      <c r="N112" s="49">
        <v>4300</v>
      </c>
      <c r="O112" s="49">
        <v>4300</v>
      </c>
      <c r="P112" s="26"/>
      <c r="Q112" s="26"/>
      <c r="R112" s="28" t="s">
        <v>23</v>
      </c>
      <c r="S112" s="7"/>
    </row>
    <row r="113" spans="1:19">
      <c r="A113" s="24">
        <v>50</v>
      </c>
      <c r="B113" s="24"/>
      <c r="C113" s="14"/>
      <c r="D113" s="25" t="s">
        <v>24</v>
      </c>
      <c r="E113" s="26">
        <v>0</v>
      </c>
      <c r="F113" s="26">
        <v>0</v>
      </c>
      <c r="G113" s="26">
        <v>0</v>
      </c>
      <c r="H113" s="26">
        <v>300</v>
      </c>
      <c r="I113" s="26"/>
      <c r="J113" s="26">
        <v>327</v>
      </c>
      <c r="K113" s="27"/>
      <c r="L113" s="47">
        <v>350</v>
      </c>
      <c r="M113" s="26">
        <v>350</v>
      </c>
      <c r="N113" s="49">
        <v>350</v>
      </c>
      <c r="O113" s="49">
        <v>350</v>
      </c>
      <c r="P113" s="26"/>
      <c r="Q113" s="26"/>
      <c r="R113" s="28" t="s">
        <v>23</v>
      </c>
      <c r="S113" s="7"/>
    </row>
    <row r="114" spans="1:19" ht="7.5" customHeight="1">
      <c r="A114" s="14"/>
      <c r="B114" s="24"/>
      <c r="C114" s="14"/>
      <c r="D114" s="14"/>
      <c r="E114" s="26"/>
      <c r="F114" s="26"/>
      <c r="G114" s="26"/>
      <c r="H114" s="26"/>
      <c r="I114" s="26"/>
      <c r="J114" s="26"/>
      <c r="K114" s="27"/>
      <c r="L114" s="47"/>
      <c r="M114" s="26"/>
      <c r="N114" s="49"/>
      <c r="O114" s="49"/>
      <c r="P114" s="26"/>
      <c r="Q114" s="26"/>
      <c r="R114" s="28"/>
      <c r="S114" s="7"/>
    </row>
    <row r="115" spans="1:19">
      <c r="A115" s="14"/>
      <c r="B115" s="24">
        <v>245</v>
      </c>
      <c r="C115" s="25" t="s">
        <v>65</v>
      </c>
      <c r="D115" s="14"/>
      <c r="E115" s="26"/>
      <c r="F115" s="26"/>
      <c r="G115" s="26"/>
      <c r="H115" s="26"/>
      <c r="I115" s="26"/>
      <c r="J115" s="26"/>
      <c r="K115" s="27"/>
      <c r="L115" s="47"/>
      <c r="M115" s="26"/>
      <c r="N115" s="49"/>
      <c r="O115" s="49"/>
      <c r="P115" s="26"/>
      <c r="Q115" s="26"/>
      <c r="R115" s="28"/>
      <c r="S115" s="7"/>
    </row>
    <row r="116" spans="1:19">
      <c r="A116" s="24">
        <v>51</v>
      </c>
      <c r="B116" s="24"/>
      <c r="C116" s="14"/>
      <c r="D116" s="25" t="s">
        <v>22</v>
      </c>
      <c r="E116" s="26">
        <v>17939</v>
      </c>
      <c r="F116" s="26">
        <v>18141</v>
      </c>
      <c r="G116" s="26">
        <v>17748</v>
      </c>
      <c r="H116" s="26">
        <v>22660</v>
      </c>
      <c r="I116" s="26"/>
      <c r="J116" s="26">
        <v>21200</v>
      </c>
      <c r="K116" s="27"/>
      <c r="L116" s="47">
        <v>19700</v>
      </c>
      <c r="M116" s="26">
        <v>16000</v>
      </c>
      <c r="N116" s="49">
        <v>16000</v>
      </c>
      <c r="O116" s="49">
        <v>16000</v>
      </c>
      <c r="P116" s="26"/>
      <c r="Q116" s="26"/>
      <c r="R116" s="28" t="s">
        <v>23</v>
      </c>
      <c r="S116" s="7"/>
    </row>
    <row r="117" spans="1:19">
      <c r="A117" s="24">
        <v>52</v>
      </c>
      <c r="B117" s="24"/>
      <c r="C117" s="14"/>
      <c r="D117" s="25" t="s">
        <v>24</v>
      </c>
      <c r="E117" s="26"/>
      <c r="F117" s="26"/>
      <c r="G117" s="26"/>
      <c r="H117" s="26">
        <v>0</v>
      </c>
      <c r="I117" s="26"/>
      <c r="J117" s="26">
        <v>200</v>
      </c>
      <c r="K117" s="27"/>
      <c r="L117" s="47">
        <v>1700</v>
      </c>
      <c r="M117" s="26">
        <v>0</v>
      </c>
      <c r="N117" s="49">
        <v>0</v>
      </c>
      <c r="O117" s="49">
        <v>0</v>
      </c>
      <c r="P117" s="26"/>
      <c r="Q117" s="26"/>
      <c r="R117" s="28"/>
      <c r="S117" s="7"/>
    </row>
    <row r="118" spans="1:19" ht="7.5" customHeight="1">
      <c r="A118" s="14"/>
      <c r="B118" s="24"/>
      <c r="C118" s="14"/>
      <c r="D118" s="14"/>
      <c r="E118" s="26"/>
      <c r="F118" s="26"/>
      <c r="G118" s="26"/>
      <c r="H118" s="26"/>
      <c r="I118" s="26"/>
      <c r="J118" s="26"/>
      <c r="K118" s="27"/>
      <c r="L118" s="47"/>
      <c r="M118" s="26"/>
      <c r="N118" s="49"/>
      <c r="O118" s="49"/>
      <c r="P118" s="26"/>
      <c r="Q118" s="26"/>
      <c r="R118" s="28"/>
      <c r="S118" s="7"/>
    </row>
    <row r="119" spans="1:19">
      <c r="A119" s="14"/>
      <c r="B119" s="24">
        <v>292</v>
      </c>
      <c r="C119" s="25" t="s">
        <v>66</v>
      </c>
      <c r="D119" s="14"/>
      <c r="E119" s="26"/>
      <c r="F119" s="26"/>
      <c r="G119" s="26"/>
      <c r="H119" s="26"/>
      <c r="I119" s="26"/>
      <c r="J119" s="26"/>
      <c r="K119" s="27"/>
      <c r="L119" s="47"/>
      <c r="M119" s="26"/>
      <c r="N119" s="49"/>
      <c r="O119" s="49"/>
      <c r="P119" s="26"/>
      <c r="Q119" s="26"/>
      <c r="R119" s="28"/>
      <c r="S119" s="7"/>
    </row>
    <row r="120" spans="1:19">
      <c r="A120" s="24">
        <v>53</v>
      </c>
      <c r="B120" s="14"/>
      <c r="C120" s="14"/>
      <c r="D120" s="25" t="s">
        <v>22</v>
      </c>
      <c r="E120" s="26">
        <f>20619+153</f>
        <v>20772</v>
      </c>
      <c r="F120" s="26">
        <f>9544</f>
        <v>9544</v>
      </c>
      <c r="G120" s="26">
        <v>4732</v>
      </c>
      <c r="H120" s="26">
        <v>20163</v>
      </c>
      <c r="I120" s="26"/>
      <c r="J120" s="26">
        <v>20566</v>
      </c>
      <c r="K120" s="27"/>
      <c r="L120" s="47">
        <v>20977</v>
      </c>
      <c r="M120" s="26">
        <v>20977</v>
      </c>
      <c r="N120" s="49">
        <v>20977</v>
      </c>
      <c r="O120" s="49">
        <v>20977</v>
      </c>
      <c r="P120" s="26"/>
      <c r="Q120" s="26"/>
      <c r="R120" s="28" t="s">
        <v>23</v>
      </c>
      <c r="S120" s="7"/>
    </row>
    <row r="121" spans="1:19">
      <c r="A121" s="24">
        <v>54</v>
      </c>
      <c r="B121" s="14"/>
      <c r="C121" s="14"/>
      <c r="D121" s="25" t="s">
        <v>24</v>
      </c>
      <c r="E121" s="26">
        <v>1647</v>
      </c>
      <c r="F121" s="26">
        <f>444</f>
        <v>444</v>
      </c>
      <c r="G121" s="26">
        <v>10416</v>
      </c>
      <c r="H121" s="26">
        <v>5100</v>
      </c>
      <c r="I121" s="26"/>
      <c r="J121" s="26">
        <f>800+1800+2500</f>
        <v>5100</v>
      </c>
      <c r="K121" s="27"/>
      <c r="L121" s="47">
        <f>12500+2500+1500</f>
        <v>16500</v>
      </c>
      <c r="M121" s="26">
        <v>5300</v>
      </c>
      <c r="N121" s="49">
        <v>5300</v>
      </c>
      <c r="O121" s="49">
        <v>5300</v>
      </c>
      <c r="P121" s="26"/>
      <c r="Q121" s="26"/>
      <c r="R121" s="28" t="s">
        <v>23</v>
      </c>
      <c r="S121" s="7"/>
    </row>
    <row r="122" spans="1:19" ht="7.5" customHeight="1">
      <c r="A122" s="14"/>
      <c r="B122" s="24"/>
      <c r="C122" s="14"/>
      <c r="D122" s="14"/>
      <c r="E122" s="26"/>
      <c r="F122" s="26"/>
      <c r="G122" s="26"/>
      <c r="H122" s="26"/>
      <c r="I122" s="26"/>
      <c r="J122" s="26"/>
      <c r="K122" s="27"/>
      <c r="L122" s="47"/>
      <c r="M122" s="26"/>
      <c r="N122" s="49"/>
      <c r="O122" s="49"/>
      <c r="P122" s="26"/>
      <c r="Q122" s="26"/>
      <c r="R122" s="28"/>
      <c r="S122" s="7"/>
    </row>
    <row r="123" spans="1:19">
      <c r="A123" s="14"/>
      <c r="B123" s="24">
        <v>294</v>
      </c>
      <c r="C123" s="25" t="s">
        <v>67</v>
      </c>
      <c r="D123" s="14"/>
      <c r="E123" s="26"/>
      <c r="F123" s="26"/>
      <c r="G123" s="26"/>
      <c r="H123" s="26"/>
      <c r="I123" s="26"/>
      <c r="J123" s="26"/>
      <c r="K123" s="27"/>
      <c r="L123" s="47"/>
      <c r="M123" s="26"/>
      <c r="N123" s="49"/>
      <c r="O123" s="49"/>
      <c r="P123" s="26"/>
      <c r="Q123" s="26"/>
      <c r="R123" s="28"/>
      <c r="S123" s="7"/>
    </row>
    <row r="124" spans="1:19">
      <c r="A124" s="24">
        <v>55</v>
      </c>
      <c r="B124" s="14"/>
      <c r="C124" s="14"/>
      <c r="D124" s="25" t="s">
        <v>22</v>
      </c>
      <c r="E124" s="26">
        <v>2851</v>
      </c>
      <c r="F124" s="26">
        <v>2751</v>
      </c>
      <c r="G124" s="26">
        <v>2995</v>
      </c>
      <c r="H124" s="26">
        <v>3370</v>
      </c>
      <c r="I124" s="26"/>
      <c r="J124" s="26">
        <v>3438</v>
      </c>
      <c r="K124" s="27"/>
      <c r="L124" s="47">
        <v>3507</v>
      </c>
      <c r="M124" s="26">
        <v>3507</v>
      </c>
      <c r="N124" s="49">
        <v>3507</v>
      </c>
      <c r="O124" s="49">
        <v>3507</v>
      </c>
      <c r="P124" s="26"/>
      <c r="Q124" s="26"/>
      <c r="R124" s="28" t="s">
        <v>23</v>
      </c>
      <c r="S124" s="7"/>
    </row>
    <row r="125" spans="1:19">
      <c r="A125" s="24">
        <v>56</v>
      </c>
      <c r="B125" s="14"/>
      <c r="C125" s="14"/>
      <c r="D125" s="25" t="s">
        <v>24</v>
      </c>
      <c r="E125" s="26">
        <v>7958</v>
      </c>
      <c r="F125" s="26">
        <v>15496</v>
      </c>
      <c r="G125" s="26">
        <f>29585+1000</f>
        <v>30585</v>
      </c>
      <c r="H125" s="26">
        <v>25000</v>
      </c>
      <c r="I125" s="26"/>
      <c r="J125" s="26">
        <v>25000</v>
      </c>
      <c r="K125" s="27"/>
      <c r="L125" s="47">
        <v>25000</v>
      </c>
      <c r="M125" s="26">
        <v>25000</v>
      </c>
      <c r="N125" s="49">
        <v>25000</v>
      </c>
      <c r="O125" s="49">
        <v>25000</v>
      </c>
      <c r="P125" s="26"/>
      <c r="Q125" s="26"/>
      <c r="R125" s="28" t="s">
        <v>23</v>
      </c>
      <c r="S125" s="7"/>
    </row>
    <row r="126" spans="1:19" ht="6" customHeight="1">
      <c r="A126" s="24"/>
      <c r="B126" s="14"/>
      <c r="C126" s="25"/>
      <c r="D126" s="25"/>
      <c r="E126" s="26"/>
      <c r="F126" s="26"/>
      <c r="G126" s="26"/>
      <c r="H126" s="26"/>
      <c r="I126" s="26"/>
      <c r="J126" s="26"/>
      <c r="K126" s="27"/>
      <c r="L126" s="47"/>
      <c r="M126" s="26"/>
      <c r="N126" s="49"/>
      <c r="O126" s="49"/>
      <c r="P126" s="26"/>
      <c r="Q126" s="26"/>
      <c r="R126" s="28"/>
      <c r="S126" s="7"/>
    </row>
    <row r="127" spans="1:19" ht="6" customHeight="1">
      <c r="A127" s="14"/>
      <c r="B127" s="14"/>
      <c r="C127" s="14"/>
      <c r="D127" s="14"/>
      <c r="E127" s="26"/>
      <c r="F127" s="26"/>
      <c r="G127" s="26"/>
      <c r="H127" s="14"/>
      <c r="I127" s="26"/>
      <c r="J127" s="14"/>
      <c r="K127" s="27"/>
      <c r="L127" s="47"/>
      <c r="M127" s="14"/>
      <c r="N127" s="58"/>
      <c r="O127" s="58"/>
      <c r="P127" s="14"/>
      <c r="Q127" s="14"/>
      <c r="R127" s="28"/>
      <c r="S127" s="7"/>
    </row>
    <row r="128" spans="1:19">
      <c r="A128" s="14"/>
      <c r="B128" s="14"/>
      <c r="C128" s="14"/>
      <c r="D128" s="34" t="s">
        <v>68</v>
      </c>
      <c r="E128" s="26">
        <f>SUM(E83:E126)</f>
        <v>4122291</v>
      </c>
      <c r="F128" s="26">
        <f>SUM(F83:F126)</f>
        <v>4302327</v>
      </c>
      <c r="G128" s="26">
        <f>SUM(G83:G126)</f>
        <v>4322324</v>
      </c>
      <c r="H128" s="26">
        <f>SUBTOTAL(9,H83:H126)</f>
        <v>5877880</v>
      </c>
      <c r="I128" s="26"/>
      <c r="J128" s="26">
        <f>SUM(J83:J126)</f>
        <v>6261951</v>
      </c>
      <c r="K128" s="27"/>
      <c r="L128" s="47">
        <f>SUBTOTAL(9,L83:L126)</f>
        <v>6702391</v>
      </c>
      <c r="M128" s="26">
        <f>SUBTOTAL(9,M83:M126)</f>
        <v>7403336</v>
      </c>
      <c r="N128" s="49">
        <f>SUBTOTAL(9,N83:N126)</f>
        <v>6684336</v>
      </c>
      <c r="O128" s="49">
        <f>SUBTOTAL(9,O83:O126)</f>
        <v>7403336</v>
      </c>
      <c r="P128" s="26"/>
      <c r="Q128" s="26"/>
      <c r="R128" s="28"/>
      <c r="S128" s="7"/>
    </row>
    <row r="129" spans="1:19" ht="12.75" customHeight="1">
      <c r="A129" s="14"/>
      <c r="B129" s="14"/>
      <c r="C129" s="14"/>
      <c r="D129" s="22"/>
      <c r="E129" s="26"/>
      <c r="F129" s="26"/>
      <c r="G129" s="26"/>
      <c r="H129" s="35"/>
      <c r="I129" s="26"/>
      <c r="J129" s="35">
        <f>(J128-H128)/H128</f>
        <v>6.5341755871164434E-2</v>
      </c>
      <c r="K129" s="27"/>
      <c r="L129" s="48">
        <f>(L128-J128)/J128</f>
        <v>7.0335906493040265E-2</v>
      </c>
      <c r="M129" s="35">
        <f>(M128-L128)/L128</f>
        <v>0.10458133522798058</v>
      </c>
      <c r="N129" s="57">
        <f>(N128-L128)/L128</f>
        <v>-2.6938147893788948E-3</v>
      </c>
      <c r="O129" s="57">
        <f>(O128-L128)/L128</f>
        <v>0.10458133522798058</v>
      </c>
      <c r="P129" s="35"/>
      <c r="Q129" s="35"/>
      <c r="R129" s="28"/>
      <c r="S129" s="7"/>
    </row>
    <row r="130" spans="1:19" ht="12.75" customHeight="1">
      <c r="A130" s="14"/>
      <c r="B130" s="14"/>
      <c r="C130" s="14"/>
      <c r="D130" s="22"/>
      <c r="E130" s="26"/>
      <c r="F130" s="26"/>
      <c r="G130" s="26"/>
      <c r="H130" s="35"/>
      <c r="I130" s="26"/>
      <c r="J130" s="35"/>
      <c r="K130" s="27"/>
      <c r="L130" s="50"/>
      <c r="M130" s="35"/>
      <c r="N130" s="57"/>
      <c r="O130" s="57"/>
      <c r="P130" s="35"/>
      <c r="Q130" s="35"/>
      <c r="R130" s="28"/>
      <c r="S130" s="7"/>
    </row>
    <row r="131" spans="1:19">
      <c r="A131" s="14"/>
      <c r="B131" s="15" t="s">
        <v>69</v>
      </c>
      <c r="C131" s="22"/>
      <c r="D131" s="14"/>
      <c r="E131" s="26"/>
      <c r="F131" s="26"/>
      <c r="G131" s="26"/>
      <c r="H131" s="37"/>
      <c r="I131" s="26"/>
      <c r="J131" s="26"/>
      <c r="K131" s="27"/>
      <c r="L131" s="51"/>
      <c r="M131" s="37"/>
      <c r="N131" s="59"/>
      <c r="O131" s="59"/>
      <c r="P131" s="37"/>
      <c r="Q131" s="37"/>
      <c r="R131" s="28"/>
      <c r="S131" s="7"/>
    </row>
    <row r="132" spans="1:19">
      <c r="A132" s="14"/>
      <c r="B132" s="24">
        <v>300</v>
      </c>
      <c r="C132" s="25" t="s">
        <v>70</v>
      </c>
      <c r="D132" s="14"/>
      <c r="E132" s="26"/>
      <c r="F132" s="26"/>
      <c r="G132" s="26"/>
      <c r="H132" s="37"/>
      <c r="I132" s="26"/>
      <c r="J132" s="37"/>
      <c r="K132" s="27"/>
      <c r="L132" s="52"/>
      <c r="M132" s="37"/>
      <c r="N132" s="59"/>
      <c r="O132" s="59"/>
      <c r="P132" s="37"/>
      <c r="Q132" s="37"/>
      <c r="R132" s="28"/>
      <c r="S132" s="7"/>
    </row>
    <row r="133" spans="1:19">
      <c r="A133" s="24">
        <v>57</v>
      </c>
      <c r="B133" s="24"/>
      <c r="C133" s="14"/>
      <c r="D133" s="25" t="s">
        <v>71</v>
      </c>
      <c r="E133" s="26">
        <v>7324961</v>
      </c>
      <c r="F133" s="26">
        <v>7524572</v>
      </c>
      <c r="G133" s="26">
        <v>7715066</v>
      </c>
      <c r="H133" s="26">
        <v>13245052</v>
      </c>
      <c r="I133" s="26"/>
      <c r="J133" s="26">
        <v>13907233</v>
      </c>
      <c r="K133" s="27"/>
      <c r="L133" s="47">
        <v>14974736</v>
      </c>
      <c r="M133" s="26">
        <v>16452363</v>
      </c>
      <c r="N133" s="49">
        <f>16452363-940000</f>
        <v>15512363</v>
      </c>
      <c r="O133" s="49">
        <v>16452363</v>
      </c>
      <c r="P133" s="26">
        <f>O133-N133</f>
        <v>940000</v>
      </c>
      <c r="Q133" s="26" t="s">
        <v>72</v>
      </c>
      <c r="R133" s="28" t="s">
        <v>23</v>
      </c>
      <c r="S133" s="7"/>
    </row>
    <row r="134" spans="1:19">
      <c r="A134" s="24"/>
      <c r="B134" s="24"/>
      <c r="C134" s="14"/>
      <c r="D134" s="25"/>
      <c r="E134" s="26"/>
      <c r="F134" s="26"/>
      <c r="G134" s="26"/>
      <c r="H134" s="26"/>
      <c r="I134" s="26"/>
      <c r="J134" s="26"/>
      <c r="K134" s="27"/>
      <c r="L134" s="47"/>
      <c r="M134" s="26"/>
      <c r="N134" s="49"/>
      <c r="O134" s="49"/>
      <c r="P134" s="26"/>
      <c r="Q134" s="26"/>
      <c r="R134" s="28"/>
      <c r="S134" s="7"/>
    </row>
    <row r="135" spans="1:19">
      <c r="A135" s="24">
        <v>58</v>
      </c>
      <c r="B135" s="24"/>
      <c r="C135" s="14"/>
      <c r="D135" s="25" t="s">
        <v>73</v>
      </c>
      <c r="E135" s="26">
        <v>91817</v>
      </c>
      <c r="F135" s="26">
        <v>98607</v>
      </c>
      <c r="G135" s="26">
        <v>96280</v>
      </c>
      <c r="H135" s="26">
        <v>55234</v>
      </c>
      <c r="I135" s="26"/>
      <c r="J135" s="26">
        <v>52672</v>
      </c>
      <c r="K135" s="27"/>
      <c r="L135" s="47">
        <v>47876</v>
      </c>
      <c r="M135" s="26">
        <v>47888</v>
      </c>
      <c r="N135" s="49">
        <v>47888</v>
      </c>
      <c r="O135" s="49">
        <v>47888</v>
      </c>
      <c r="P135" s="26"/>
      <c r="Q135" s="26"/>
      <c r="R135" s="28" t="s">
        <v>23</v>
      </c>
      <c r="S135" s="7"/>
    </row>
    <row r="136" spans="1:19">
      <c r="A136" s="24">
        <v>59</v>
      </c>
      <c r="B136" s="24"/>
      <c r="C136" s="14"/>
      <c r="D136" s="25" t="s">
        <v>74</v>
      </c>
      <c r="E136" s="26">
        <v>628531</v>
      </c>
      <c r="F136" s="26">
        <v>362808</v>
      </c>
      <c r="G136" s="26">
        <v>477872</v>
      </c>
      <c r="H136" s="26">
        <v>481913</v>
      </c>
      <c r="I136" s="26"/>
      <c r="J136" s="26">
        <v>483722</v>
      </c>
      <c r="K136" s="27"/>
      <c r="L136" s="47">
        <v>476180</v>
      </c>
      <c r="M136" s="26">
        <v>478651</v>
      </c>
      <c r="N136" s="49">
        <v>478651</v>
      </c>
      <c r="O136" s="49">
        <v>478651</v>
      </c>
      <c r="P136" s="26"/>
      <c r="Q136" s="26"/>
      <c r="R136" s="28" t="s">
        <v>23</v>
      </c>
      <c r="S136" s="7"/>
    </row>
    <row r="137" spans="1:19" ht="15">
      <c r="A137" s="24"/>
      <c r="B137" s="24"/>
      <c r="C137" s="14"/>
      <c r="D137" s="25"/>
      <c r="E137" s="26"/>
      <c r="F137" s="26"/>
      <c r="G137" s="26"/>
      <c r="H137" s="27"/>
      <c r="I137" s="26"/>
      <c r="J137" s="27"/>
      <c r="K137" s="27"/>
      <c r="L137" s="47"/>
      <c r="M137" s="27"/>
      <c r="N137" s="60"/>
      <c r="O137" s="60"/>
      <c r="P137" s="27"/>
      <c r="Q137" s="27"/>
      <c r="R137" s="36"/>
      <c r="S137" s="9"/>
    </row>
    <row r="138" spans="1:19" ht="7.5" customHeight="1">
      <c r="A138" s="14"/>
      <c r="B138" s="24"/>
      <c r="C138" s="14"/>
      <c r="D138" s="14"/>
      <c r="E138" s="26"/>
      <c r="F138" s="26"/>
      <c r="G138" s="26"/>
      <c r="H138" s="26"/>
      <c r="I138" s="26"/>
      <c r="J138" s="26"/>
      <c r="K138" s="27"/>
      <c r="L138" s="47"/>
      <c r="M138" s="26"/>
      <c r="N138" s="49"/>
      <c r="O138" s="49"/>
      <c r="P138" s="26"/>
      <c r="Q138" s="26"/>
      <c r="R138" s="28"/>
      <c r="S138" s="7"/>
    </row>
    <row r="139" spans="1:19">
      <c r="A139" s="24">
        <v>60</v>
      </c>
      <c r="B139" s="24">
        <v>330</v>
      </c>
      <c r="C139" s="25" t="s">
        <v>75</v>
      </c>
      <c r="D139" s="14"/>
      <c r="E139" s="26">
        <v>766645</v>
      </c>
      <c r="F139" s="26">
        <v>847339</v>
      </c>
      <c r="G139" s="26">
        <v>877141</v>
      </c>
      <c r="H139" s="26">
        <v>1182596</v>
      </c>
      <c r="I139" s="26"/>
      <c r="J139" s="26">
        <v>1164846</v>
      </c>
      <c r="K139" s="27"/>
      <c r="L139" s="47">
        <v>1098635</v>
      </c>
      <c r="M139" s="26">
        <v>1042457</v>
      </c>
      <c r="N139" s="49">
        <v>1042457</v>
      </c>
      <c r="O139" s="49">
        <v>1042457</v>
      </c>
      <c r="P139" s="26"/>
      <c r="Q139" s="26"/>
      <c r="R139" s="28" t="s">
        <v>23</v>
      </c>
      <c r="S139" s="7"/>
    </row>
    <row r="140" spans="1:19" ht="7.5" customHeight="1">
      <c r="A140" s="14"/>
      <c r="B140" s="24"/>
      <c r="C140" s="14"/>
      <c r="D140" s="14"/>
      <c r="E140" s="26"/>
      <c r="F140" s="26"/>
      <c r="G140" s="26"/>
      <c r="H140" s="26"/>
      <c r="I140" s="26"/>
      <c r="J140" s="26"/>
      <c r="K140" s="27"/>
      <c r="L140" s="47"/>
      <c r="M140" s="26"/>
      <c r="N140" s="49"/>
      <c r="O140" s="49"/>
      <c r="P140" s="26"/>
      <c r="Q140" s="26"/>
      <c r="R140" s="28"/>
      <c r="S140" s="7"/>
    </row>
    <row r="141" spans="1:19">
      <c r="A141" s="24">
        <v>61</v>
      </c>
      <c r="B141" s="24">
        <v>340</v>
      </c>
      <c r="C141" s="25" t="s">
        <v>76</v>
      </c>
      <c r="D141" s="14"/>
      <c r="E141" s="26">
        <v>184644</v>
      </c>
      <c r="F141" s="26">
        <v>184928</v>
      </c>
      <c r="G141" s="26">
        <v>200735</v>
      </c>
      <c r="H141" s="26">
        <v>105000</v>
      </c>
      <c r="I141" s="26"/>
      <c r="J141" s="26">
        <v>213330</v>
      </c>
      <c r="K141" s="27"/>
      <c r="L141" s="47">
        <v>213330</v>
      </c>
      <c r="M141" s="26">
        <v>220000</v>
      </c>
      <c r="N141" s="49">
        <v>220000</v>
      </c>
      <c r="O141" s="49">
        <v>220000</v>
      </c>
      <c r="P141" s="26"/>
      <c r="Q141" s="26"/>
      <c r="R141" s="28" t="s">
        <v>23</v>
      </c>
      <c r="S141" s="7"/>
    </row>
    <row r="142" spans="1:19" ht="6" customHeight="1">
      <c r="A142" s="24"/>
      <c r="B142" s="24"/>
      <c r="C142" s="25"/>
      <c r="D142" s="25"/>
      <c r="E142" s="26"/>
      <c r="F142" s="26"/>
      <c r="G142" s="26"/>
      <c r="H142" s="26"/>
      <c r="I142" s="26"/>
      <c r="J142" s="26"/>
      <c r="K142" s="27"/>
      <c r="L142" s="47"/>
      <c r="M142" s="26"/>
      <c r="N142" s="49"/>
      <c r="O142" s="49"/>
      <c r="P142" s="26"/>
      <c r="Q142" s="26"/>
      <c r="R142" s="28"/>
      <c r="S142" s="7"/>
    </row>
    <row r="143" spans="1:19" ht="6" customHeight="1">
      <c r="A143" s="14"/>
      <c r="B143" s="24"/>
      <c r="C143" s="14"/>
      <c r="D143" s="14"/>
      <c r="E143" s="14"/>
      <c r="F143" s="14"/>
      <c r="G143" s="14"/>
      <c r="H143" s="14"/>
      <c r="I143" s="14"/>
      <c r="J143" s="14"/>
      <c r="K143" s="27"/>
      <c r="L143" s="47"/>
      <c r="M143" s="14"/>
      <c r="N143" s="58"/>
      <c r="O143" s="58"/>
      <c r="P143" s="14"/>
      <c r="Q143" s="14"/>
      <c r="R143" s="28"/>
      <c r="S143" s="7"/>
    </row>
    <row r="144" spans="1:19">
      <c r="A144" s="14"/>
      <c r="B144" s="24"/>
      <c r="C144" s="14"/>
      <c r="D144" s="34" t="s">
        <v>77</v>
      </c>
      <c r="E144" s="26">
        <f>SUM(E132:E142)</f>
        <v>8996598</v>
      </c>
      <c r="F144" s="26">
        <f>SUM(F132:F142)</f>
        <v>9018254</v>
      </c>
      <c r="G144" s="26">
        <f>SUM(G132:G142)</f>
        <v>9367094</v>
      </c>
      <c r="H144" s="26">
        <f>SUBTOTAL(9,H132:H142)</f>
        <v>15069795</v>
      </c>
      <c r="I144" s="26"/>
      <c r="J144" s="26">
        <f>SUM(J132:J142)</f>
        <v>15821803</v>
      </c>
      <c r="K144" s="27"/>
      <c r="L144" s="47">
        <f>SUBTOTAL(9,L132:L142)</f>
        <v>16810757</v>
      </c>
      <c r="M144" s="26">
        <f>SUBTOTAL(9,M132:M142)</f>
        <v>18241359</v>
      </c>
      <c r="N144" s="49">
        <f>SUBTOTAL(9,N132:N142)</f>
        <v>17301359</v>
      </c>
      <c r="O144" s="49">
        <f>SUBTOTAL(9,O132:O142)</f>
        <v>18241359</v>
      </c>
      <c r="P144" s="26"/>
      <c r="Q144" s="26"/>
      <c r="R144" s="28"/>
      <c r="S144" s="7"/>
    </row>
    <row r="145" spans="1:19" ht="12.75" customHeight="1">
      <c r="A145" s="14"/>
      <c r="B145" s="24"/>
      <c r="C145" s="14"/>
      <c r="D145" s="22"/>
      <c r="E145" s="26"/>
      <c r="F145" s="26"/>
      <c r="G145" s="26"/>
      <c r="H145" s="35"/>
      <c r="I145" s="26"/>
      <c r="J145" s="35">
        <f>(J144-$H$144)/H$144</f>
        <v>4.990167417672238E-2</v>
      </c>
      <c r="K145" s="27"/>
      <c r="L145" s="48">
        <f>(L144-J144)/J144</f>
        <v>6.2505771308111982E-2</v>
      </c>
      <c r="M145" s="35">
        <f>(M144-L144)/L144</f>
        <v>8.5100391374403894E-2</v>
      </c>
      <c r="N145" s="57">
        <f>(N144-L144)/L144</f>
        <v>2.9183813673590072E-2</v>
      </c>
      <c r="O145" s="57">
        <f>(O144-L144)/L144</f>
        <v>8.5100391374403894E-2</v>
      </c>
      <c r="P145" s="35"/>
      <c r="Q145" s="35"/>
      <c r="R145" s="28"/>
      <c r="S145" s="7"/>
    </row>
    <row r="146" spans="1:19" ht="12.75" customHeight="1">
      <c r="A146" s="14"/>
      <c r="B146" s="24"/>
      <c r="C146" s="14"/>
      <c r="D146" s="22"/>
      <c r="E146" s="26"/>
      <c r="F146" s="26"/>
      <c r="G146" s="26"/>
      <c r="H146" s="35"/>
      <c r="I146" s="26"/>
      <c r="J146" s="35"/>
      <c r="K146" s="27"/>
      <c r="L146" s="50"/>
      <c r="M146" s="35"/>
      <c r="N146" s="57"/>
      <c r="O146" s="57"/>
      <c r="P146" s="35"/>
      <c r="Q146" s="35"/>
      <c r="R146" s="28"/>
      <c r="S146" s="7"/>
    </row>
    <row r="147" spans="1:19" ht="6.75" customHeight="1">
      <c r="A147" s="14"/>
      <c r="B147" s="24"/>
      <c r="C147" s="14"/>
      <c r="D147" s="22"/>
      <c r="E147" s="26"/>
      <c r="F147" s="26"/>
      <c r="G147" s="38"/>
      <c r="H147" s="38"/>
      <c r="I147" s="38"/>
      <c r="J147" s="35"/>
      <c r="K147" s="38"/>
      <c r="L147" s="51"/>
      <c r="M147" s="38"/>
      <c r="N147" s="61"/>
      <c r="O147" s="61"/>
      <c r="P147" s="38"/>
      <c r="Q147" s="38"/>
      <c r="R147" s="28"/>
      <c r="S147" s="7"/>
    </row>
    <row r="148" spans="1:19">
      <c r="A148" s="14"/>
      <c r="B148" s="15" t="s">
        <v>78</v>
      </c>
      <c r="C148" s="22"/>
      <c r="D148" s="14"/>
      <c r="E148" s="26"/>
      <c r="F148" s="26"/>
      <c r="G148" s="26"/>
      <c r="H148" s="26"/>
      <c r="I148" s="26"/>
      <c r="J148" s="26"/>
      <c r="K148" s="26"/>
      <c r="L148" s="53"/>
      <c r="M148" s="26"/>
      <c r="N148" s="49"/>
      <c r="O148" s="49"/>
      <c r="P148" s="26"/>
      <c r="Q148" s="26"/>
      <c r="R148" s="28"/>
      <c r="S148" s="7"/>
    </row>
    <row r="149" spans="1:19">
      <c r="A149" s="14"/>
      <c r="B149" s="24">
        <v>420</v>
      </c>
      <c r="C149" s="25" t="s">
        <v>79</v>
      </c>
      <c r="D149" s="14"/>
      <c r="E149" s="26"/>
      <c r="F149" s="26"/>
      <c r="G149" s="26"/>
      <c r="H149" s="26"/>
      <c r="I149" s="26"/>
      <c r="J149" s="26"/>
      <c r="K149" s="27"/>
      <c r="L149" s="53"/>
      <c r="M149" s="26"/>
      <c r="N149" s="49"/>
      <c r="O149" s="49"/>
      <c r="P149" s="26"/>
      <c r="Q149" s="26"/>
      <c r="R149" s="28"/>
      <c r="S149" s="7"/>
    </row>
    <row r="150" spans="1:19">
      <c r="A150" s="24">
        <v>62</v>
      </c>
      <c r="B150" s="24"/>
      <c r="C150" s="14"/>
      <c r="D150" s="25" t="s">
        <v>22</v>
      </c>
      <c r="E150" s="26">
        <v>423088</v>
      </c>
      <c r="F150" s="26">
        <v>442939</v>
      </c>
      <c r="G150" s="26">
        <v>448342</v>
      </c>
      <c r="H150" s="26">
        <f>95511+496121</f>
        <v>591632</v>
      </c>
      <c r="I150" s="26"/>
      <c r="J150" s="26">
        <f>97384+507085</f>
        <v>604469</v>
      </c>
      <c r="K150" s="27"/>
      <c r="L150" s="47">
        <v>649365</v>
      </c>
      <c r="M150" s="26">
        <v>705435</v>
      </c>
      <c r="N150" s="49">
        <f>705435-56900</f>
        <v>648535</v>
      </c>
      <c r="O150" s="49">
        <v>705435</v>
      </c>
      <c r="P150" s="26">
        <f>O150-N150</f>
        <v>56900</v>
      </c>
      <c r="Q150" s="26" t="s">
        <v>80</v>
      </c>
      <c r="R150" s="28" t="s">
        <v>23</v>
      </c>
      <c r="S150" s="7"/>
    </row>
    <row r="151" spans="1:19">
      <c r="A151" s="24">
        <v>63</v>
      </c>
      <c r="B151" s="24"/>
      <c r="C151" s="14"/>
      <c r="D151" s="25" t="s">
        <v>24</v>
      </c>
      <c r="E151" s="26">
        <v>106434</v>
      </c>
      <c r="F151" s="26">
        <v>141289</v>
      </c>
      <c r="G151" s="26">
        <v>198989</v>
      </c>
      <c r="H151" s="26">
        <f>110840+112000+35000</f>
        <v>257840</v>
      </c>
      <c r="I151" s="26"/>
      <c r="J151" s="26">
        <f>141650+122000+40000+45000-10000</f>
        <v>338650</v>
      </c>
      <c r="K151" s="27"/>
      <c r="L151" s="47">
        <f>133050+169950+40000</f>
        <v>343000</v>
      </c>
      <c r="M151" s="26">
        <v>423500</v>
      </c>
      <c r="N151" s="49">
        <f>423500-16100</f>
        <v>407400</v>
      </c>
      <c r="O151" s="49">
        <v>423500</v>
      </c>
      <c r="P151" s="26">
        <f>O151-N151</f>
        <v>16100</v>
      </c>
      <c r="Q151" s="26" t="s">
        <v>81</v>
      </c>
      <c r="R151" s="28" t="s">
        <v>23</v>
      </c>
      <c r="S151" s="7"/>
    </row>
    <row r="152" spans="1:19">
      <c r="A152" s="24">
        <v>64</v>
      </c>
      <c r="B152" s="24"/>
      <c r="C152" s="14"/>
      <c r="D152" s="25" t="s">
        <v>82</v>
      </c>
      <c r="E152" s="26">
        <v>816034</v>
      </c>
      <c r="F152" s="26">
        <v>420444</v>
      </c>
      <c r="G152" s="26">
        <v>459488</v>
      </c>
      <c r="H152" s="26">
        <v>300000</v>
      </c>
      <c r="I152" s="26"/>
      <c r="J152" s="26">
        <v>300000</v>
      </c>
      <c r="K152" s="27"/>
      <c r="L152" s="47">
        <v>300000</v>
      </c>
      <c r="M152" s="26">
        <v>300000</v>
      </c>
      <c r="N152" s="49">
        <v>300000</v>
      </c>
      <c r="O152" s="49">
        <v>300000</v>
      </c>
      <c r="P152" s="26"/>
      <c r="Q152" s="26"/>
      <c r="R152" s="28" t="s">
        <v>23</v>
      </c>
      <c r="S152" s="7"/>
    </row>
    <row r="153" spans="1:19">
      <c r="A153" s="24">
        <v>65</v>
      </c>
      <c r="B153" s="24"/>
      <c r="C153" s="14"/>
      <c r="D153" s="25" t="s">
        <v>83</v>
      </c>
      <c r="E153" s="26">
        <v>38699</v>
      </c>
      <c r="F153" s="26">
        <v>30528</v>
      </c>
      <c r="G153" s="26">
        <v>39979</v>
      </c>
      <c r="H153" s="26">
        <f>50000-5000</f>
        <v>45000</v>
      </c>
      <c r="I153" s="26"/>
      <c r="J153" s="26">
        <v>0</v>
      </c>
      <c r="K153" s="27"/>
      <c r="L153" s="47">
        <v>0</v>
      </c>
      <c r="M153" s="26">
        <v>0</v>
      </c>
      <c r="N153" s="49">
        <v>0</v>
      </c>
      <c r="O153" s="49">
        <v>0</v>
      </c>
      <c r="P153" s="26"/>
      <c r="Q153" s="26"/>
      <c r="R153" s="28"/>
      <c r="S153" s="7"/>
    </row>
    <row r="154" spans="1:19" ht="6" customHeight="1">
      <c r="A154" s="14"/>
      <c r="B154" s="24"/>
      <c r="C154" s="14"/>
      <c r="D154" s="14"/>
      <c r="E154" s="26"/>
      <c r="F154" s="26"/>
      <c r="G154" s="26"/>
      <c r="H154" s="26"/>
      <c r="I154" s="26"/>
      <c r="J154" s="26"/>
      <c r="K154" s="27"/>
      <c r="L154" s="47"/>
      <c r="M154" s="26"/>
      <c r="N154" s="49"/>
      <c r="O154" s="49"/>
      <c r="P154" s="26"/>
      <c r="Q154" s="26"/>
      <c r="R154" s="28"/>
      <c r="S154" s="7"/>
    </row>
    <row r="155" spans="1:19">
      <c r="A155" s="14"/>
      <c r="B155" s="24">
        <v>424</v>
      </c>
      <c r="C155" s="25" t="s">
        <v>84</v>
      </c>
      <c r="D155" s="14"/>
      <c r="E155" s="26"/>
      <c r="F155" s="26"/>
      <c r="G155" s="26"/>
      <c r="H155" s="26"/>
      <c r="I155" s="26"/>
      <c r="J155" s="26"/>
      <c r="K155" s="27"/>
      <c r="L155" s="47"/>
      <c r="M155" s="26"/>
      <c r="N155" s="49"/>
      <c r="O155" s="49"/>
      <c r="P155" s="26"/>
      <c r="Q155" s="26"/>
      <c r="R155" s="28"/>
      <c r="S155" s="7"/>
    </row>
    <row r="156" spans="1:19">
      <c r="A156" s="24">
        <v>66</v>
      </c>
      <c r="B156" s="24"/>
      <c r="C156" s="14"/>
      <c r="D156" s="25" t="s">
        <v>24</v>
      </c>
      <c r="E156" s="26">
        <v>109149</v>
      </c>
      <c r="F156" s="26">
        <f>91230+650</f>
        <v>91880</v>
      </c>
      <c r="G156" s="26">
        <v>76855</v>
      </c>
      <c r="H156" s="26">
        <v>100000</v>
      </c>
      <c r="I156" s="26"/>
      <c r="J156" s="26">
        <v>160000</v>
      </c>
      <c r="K156" s="27"/>
      <c r="L156" s="47">
        <v>160000</v>
      </c>
      <c r="M156" s="26">
        <v>160000</v>
      </c>
      <c r="N156" s="49">
        <v>160000</v>
      </c>
      <c r="O156" s="49">
        <v>160000</v>
      </c>
      <c r="P156" s="26"/>
      <c r="Q156" s="26"/>
      <c r="R156" s="28" t="s">
        <v>23</v>
      </c>
      <c r="S156" s="7"/>
    </row>
    <row r="157" spans="1:19">
      <c r="A157" s="24"/>
      <c r="B157" s="24">
        <v>430</v>
      </c>
      <c r="C157" s="25" t="s">
        <v>85</v>
      </c>
      <c r="D157" s="14"/>
      <c r="E157" s="26"/>
      <c r="F157" s="26"/>
      <c r="G157" s="26"/>
      <c r="H157" s="26"/>
      <c r="I157" s="26"/>
      <c r="J157" s="26"/>
      <c r="K157" s="27"/>
      <c r="L157" s="47"/>
      <c r="M157" s="26"/>
      <c r="N157" s="49"/>
      <c r="O157" s="49"/>
      <c r="P157" s="26"/>
      <c r="Q157" s="26"/>
      <c r="R157" s="28"/>
      <c r="S157" s="7"/>
    </row>
    <row r="158" spans="1:19">
      <c r="A158" s="24">
        <v>67</v>
      </c>
      <c r="B158" s="24"/>
      <c r="C158" s="14"/>
      <c r="D158" s="25" t="s">
        <v>22</v>
      </c>
      <c r="E158" s="26">
        <v>423088</v>
      </c>
      <c r="F158" s="26">
        <v>442939</v>
      </c>
      <c r="G158" s="26">
        <v>448342</v>
      </c>
      <c r="H158" s="26">
        <v>0</v>
      </c>
      <c r="I158" s="26"/>
      <c r="J158" s="26">
        <v>116515</v>
      </c>
      <c r="K158" s="27"/>
      <c r="L158" s="47">
        <v>109668</v>
      </c>
      <c r="M158" s="26">
        <v>134750</v>
      </c>
      <c r="N158" s="49">
        <v>134750</v>
      </c>
      <c r="O158" s="49">
        <v>134750</v>
      </c>
      <c r="P158" s="26"/>
      <c r="Q158" s="26"/>
      <c r="R158" s="28" t="s">
        <v>23</v>
      </c>
      <c r="S158" s="7"/>
    </row>
    <row r="159" spans="1:19">
      <c r="A159" s="24">
        <v>68</v>
      </c>
      <c r="B159" s="24"/>
      <c r="C159" s="14"/>
      <c r="D159" s="25" t="s">
        <v>24</v>
      </c>
      <c r="E159" s="26">
        <v>106434</v>
      </c>
      <c r="F159" s="26">
        <v>141289</v>
      </c>
      <c r="G159" s="26">
        <v>198989</v>
      </c>
      <c r="H159" s="26">
        <v>0</v>
      </c>
      <c r="I159" s="26"/>
      <c r="J159" s="26">
        <f>12550+199750</f>
        <v>212300</v>
      </c>
      <c r="K159" s="27"/>
      <c r="L159" s="47">
        <f>12350+205653</f>
        <v>218003</v>
      </c>
      <c r="M159" s="26">
        <v>225419</v>
      </c>
      <c r="N159" s="49">
        <f>225419-27000</f>
        <v>198419</v>
      </c>
      <c r="O159" s="49">
        <v>225419</v>
      </c>
      <c r="P159" s="26">
        <f>O159-N159</f>
        <v>27000</v>
      </c>
      <c r="Q159" s="26" t="s">
        <v>86</v>
      </c>
      <c r="R159" s="28" t="s">
        <v>23</v>
      </c>
      <c r="S159" s="7"/>
    </row>
    <row r="160" spans="1:19" ht="5.25" customHeight="1">
      <c r="A160" s="14"/>
      <c r="B160" s="30"/>
      <c r="C160" s="31"/>
      <c r="D160" s="14"/>
      <c r="E160" s="26"/>
      <c r="F160" s="26"/>
      <c r="G160" s="26"/>
      <c r="H160" s="26"/>
      <c r="I160" s="26"/>
      <c r="J160" s="26"/>
      <c r="K160" s="27"/>
      <c r="L160" s="47"/>
      <c r="M160" s="26"/>
      <c r="N160" s="49"/>
      <c r="O160" s="49"/>
      <c r="P160" s="26"/>
      <c r="Q160" s="26"/>
      <c r="R160" s="28"/>
      <c r="S160" s="7"/>
    </row>
    <row r="161" spans="1:19" ht="6" customHeight="1">
      <c r="A161" s="14"/>
      <c r="B161" s="14"/>
      <c r="C161" s="14"/>
      <c r="D161" s="14"/>
      <c r="E161" s="26"/>
      <c r="F161" s="26"/>
      <c r="G161" s="26"/>
      <c r="H161" s="14"/>
      <c r="I161" s="26"/>
      <c r="J161" s="14"/>
      <c r="K161" s="27"/>
      <c r="L161" s="47"/>
      <c r="M161" s="14"/>
      <c r="N161" s="58"/>
      <c r="O161" s="58"/>
      <c r="P161" s="14"/>
      <c r="Q161" s="14"/>
      <c r="R161" s="28"/>
      <c r="S161" s="7"/>
    </row>
    <row r="162" spans="1:19">
      <c r="A162" s="14"/>
      <c r="B162" s="14"/>
      <c r="C162" s="14"/>
      <c r="D162" s="34" t="s">
        <v>87</v>
      </c>
      <c r="E162" s="26">
        <f>SUM(E149:E160)</f>
        <v>2022926</v>
      </c>
      <c r="F162" s="26">
        <f>SUM(F149:F160)</f>
        <v>1711308</v>
      </c>
      <c r="G162" s="26">
        <f>SUM(G149:G160)</f>
        <v>1870984</v>
      </c>
      <c r="H162" s="26">
        <f>SUBTOTAL(9,H149:H160)</f>
        <v>1294472</v>
      </c>
      <c r="I162" s="26"/>
      <c r="J162" s="26">
        <f>SUM(J149:J160)</f>
        <v>1731934</v>
      </c>
      <c r="K162" s="27"/>
      <c r="L162" s="47">
        <f>SUBTOTAL(9,L149:L160)</f>
        <v>1780036</v>
      </c>
      <c r="M162" s="26">
        <f>SUBTOTAL(9,M149:M160)</f>
        <v>1949104</v>
      </c>
      <c r="N162" s="49">
        <f>SUBTOTAL(9,N149:N160)</f>
        <v>1849104</v>
      </c>
      <c r="O162" s="49">
        <f>SUBTOTAL(9,O149:O160)</f>
        <v>1949104</v>
      </c>
      <c r="P162" s="26"/>
      <c r="Q162" s="26"/>
      <c r="R162" s="28"/>
      <c r="S162" s="7"/>
    </row>
    <row r="163" spans="1:19">
      <c r="A163" s="14"/>
      <c r="B163" s="24"/>
      <c r="C163" s="14"/>
      <c r="D163" s="22"/>
      <c r="E163" s="26"/>
      <c r="F163" s="26"/>
      <c r="G163" s="26"/>
      <c r="H163" s="35"/>
      <c r="I163" s="26"/>
      <c r="J163" s="35">
        <f>(J162-H162)/H162</f>
        <v>0.33794628234523422</v>
      </c>
      <c r="K163" s="27"/>
      <c r="L163" s="48">
        <f>(L162-J162)/J162</f>
        <v>2.7773575667433055E-2</v>
      </c>
      <c r="M163" s="35">
        <f>(M162-L162)/L162</f>
        <v>9.4980101526036559E-2</v>
      </c>
      <c r="N163" s="57">
        <f>(N162-L162)/L162</f>
        <v>3.8801462442332624E-2</v>
      </c>
      <c r="O163" s="57">
        <f>(O162-L162)/L162</f>
        <v>9.4980101526036559E-2</v>
      </c>
      <c r="P163" s="35"/>
      <c r="Q163" s="35"/>
      <c r="R163" s="28"/>
      <c r="S163" s="7"/>
    </row>
    <row r="164" spans="1:19">
      <c r="A164" s="14"/>
      <c r="B164" s="24"/>
      <c r="C164" s="14"/>
      <c r="D164" s="22"/>
      <c r="E164" s="26"/>
      <c r="F164" s="26"/>
      <c r="G164" s="26"/>
      <c r="H164" s="35"/>
      <c r="I164" s="26"/>
      <c r="J164" s="35"/>
      <c r="K164" s="27"/>
      <c r="L164" s="50"/>
      <c r="M164" s="35"/>
      <c r="N164" s="57"/>
      <c r="O164" s="57"/>
      <c r="P164" s="35"/>
      <c r="Q164" s="35"/>
      <c r="R164" s="28"/>
      <c r="S164" s="7"/>
    </row>
    <row r="165" spans="1:19">
      <c r="A165" s="14"/>
      <c r="B165" s="15" t="s">
        <v>88</v>
      </c>
      <c r="C165" s="14"/>
      <c r="D165" s="14"/>
      <c r="E165" s="26"/>
      <c r="F165" s="26"/>
      <c r="G165" s="26"/>
      <c r="H165" s="14"/>
      <c r="I165" s="26"/>
      <c r="J165" s="14"/>
      <c r="K165" s="27"/>
      <c r="L165" s="53"/>
      <c r="M165" s="14"/>
      <c r="N165" s="58"/>
      <c r="O165" s="58"/>
      <c r="P165" s="14"/>
      <c r="Q165" s="14"/>
      <c r="R165" s="28"/>
      <c r="S165" s="7"/>
    </row>
    <row r="166" spans="1:19">
      <c r="A166" s="14"/>
      <c r="B166" s="24">
        <v>511</v>
      </c>
      <c r="C166" s="25" t="s">
        <v>89</v>
      </c>
      <c r="D166" s="14"/>
      <c r="E166" s="26"/>
      <c r="F166" s="26"/>
      <c r="G166" s="26"/>
      <c r="H166" s="14"/>
      <c r="I166" s="26"/>
      <c r="J166" s="14"/>
      <c r="K166" s="27"/>
      <c r="L166" s="53"/>
      <c r="M166" s="14"/>
      <c r="N166" s="58"/>
      <c r="O166" s="58"/>
      <c r="P166" s="14"/>
      <c r="Q166" s="14"/>
      <c r="R166" s="28"/>
      <c r="S166" s="7"/>
    </row>
    <row r="167" spans="1:19">
      <c r="A167" s="24">
        <v>69</v>
      </c>
      <c r="B167" s="24"/>
      <c r="C167" s="14"/>
      <c r="D167" s="25" t="s">
        <v>22</v>
      </c>
      <c r="E167" s="26">
        <v>92029</v>
      </c>
      <c r="F167" s="26">
        <v>94533</v>
      </c>
      <c r="G167" s="26">
        <v>82099</v>
      </c>
      <c r="H167" s="26">
        <f>69275+56765</f>
        <v>126040</v>
      </c>
      <c r="I167" s="26"/>
      <c r="J167" s="26">
        <f>70660+57930</f>
        <v>128590</v>
      </c>
      <c r="K167" s="27"/>
      <c r="L167" s="47">
        <v>101797</v>
      </c>
      <c r="M167" s="26">
        <v>130994</v>
      </c>
      <c r="N167" s="49">
        <v>130994</v>
      </c>
      <c r="O167" s="49">
        <v>130994</v>
      </c>
      <c r="P167" s="26"/>
      <c r="Q167" s="26"/>
      <c r="R167" s="28" t="s">
        <v>23</v>
      </c>
      <c r="S167" s="7"/>
    </row>
    <row r="168" spans="1:19">
      <c r="A168" s="24">
        <v>70</v>
      </c>
      <c r="B168" s="24"/>
      <c r="C168" s="25"/>
      <c r="D168" s="25" t="s">
        <v>24</v>
      </c>
      <c r="E168" s="26">
        <v>7804</v>
      </c>
      <c r="F168" s="26">
        <v>4722</v>
      </c>
      <c r="G168" s="26">
        <v>3439</v>
      </c>
      <c r="H168" s="26">
        <v>15125</v>
      </c>
      <c r="I168" s="26"/>
      <c r="J168" s="26">
        <v>16925</v>
      </c>
      <c r="K168" s="27"/>
      <c r="L168" s="47">
        <v>11325</v>
      </c>
      <c r="M168" s="26">
        <v>16925</v>
      </c>
      <c r="N168" s="49">
        <f>16925-9275</f>
        <v>7650</v>
      </c>
      <c r="O168" s="49">
        <v>16925</v>
      </c>
      <c r="P168" s="26">
        <f>O168-N168</f>
        <v>9275</v>
      </c>
      <c r="Q168" s="26" t="s">
        <v>90</v>
      </c>
      <c r="R168" s="28" t="s">
        <v>23</v>
      </c>
      <c r="S168" s="7"/>
    </row>
    <row r="169" spans="1:19">
      <c r="A169" s="24">
        <v>71</v>
      </c>
      <c r="B169" s="24"/>
      <c r="C169" s="14"/>
      <c r="D169" s="25" t="s">
        <v>91</v>
      </c>
      <c r="E169" s="26">
        <v>3400</v>
      </c>
      <c r="F169" s="26">
        <v>5155</v>
      </c>
      <c r="G169" s="26">
        <v>4900</v>
      </c>
      <c r="H169" s="26">
        <v>0</v>
      </c>
      <c r="I169" s="26"/>
      <c r="J169" s="26">
        <v>0</v>
      </c>
      <c r="K169" s="27"/>
      <c r="L169" s="47">
        <v>5600</v>
      </c>
      <c r="M169" s="26">
        <v>0</v>
      </c>
      <c r="N169" s="49">
        <v>0</v>
      </c>
      <c r="O169" s="49">
        <v>0</v>
      </c>
      <c r="P169" s="26"/>
      <c r="Q169" s="26"/>
      <c r="R169" s="28" t="s">
        <v>23</v>
      </c>
      <c r="S169" s="7"/>
    </row>
    <row r="170" spans="1:19" ht="7.5" customHeight="1">
      <c r="A170" s="14"/>
      <c r="B170" s="24"/>
      <c r="C170" s="14"/>
      <c r="D170" s="14"/>
      <c r="E170" s="26"/>
      <c r="F170" s="26"/>
      <c r="G170" s="26"/>
      <c r="H170" s="26"/>
      <c r="I170" s="26"/>
      <c r="J170" s="26"/>
      <c r="K170" s="27"/>
      <c r="L170" s="47"/>
      <c r="M170" s="26"/>
      <c r="N170" s="49"/>
      <c r="O170" s="49"/>
      <c r="P170" s="26"/>
      <c r="Q170" s="26"/>
      <c r="R170" s="28"/>
      <c r="S170" s="7"/>
    </row>
    <row r="171" spans="1:19">
      <c r="A171" s="14"/>
      <c r="B171" s="24">
        <v>541</v>
      </c>
      <c r="C171" s="25" t="s">
        <v>92</v>
      </c>
      <c r="D171" s="14"/>
      <c r="E171" s="26"/>
      <c r="F171" s="26"/>
      <c r="G171" s="26"/>
      <c r="H171" s="26"/>
      <c r="I171" s="26"/>
      <c r="J171" s="26"/>
      <c r="K171" s="27"/>
      <c r="L171" s="47"/>
      <c r="M171" s="26"/>
      <c r="N171" s="49"/>
      <c r="O171" s="49"/>
      <c r="P171" s="26"/>
      <c r="Q171" s="26"/>
      <c r="R171" s="28"/>
      <c r="S171" s="7"/>
    </row>
    <row r="172" spans="1:19">
      <c r="A172" s="24">
        <v>72</v>
      </c>
      <c r="B172" s="14"/>
      <c r="C172" s="14"/>
      <c r="D172" s="25" t="s">
        <v>22</v>
      </c>
      <c r="E172" s="26">
        <v>50621</v>
      </c>
      <c r="F172" s="26">
        <v>67912</v>
      </c>
      <c r="G172" s="26">
        <v>73557</v>
      </c>
      <c r="H172" s="26">
        <v>127987</v>
      </c>
      <c r="I172" s="26"/>
      <c r="J172" s="26">
        <f>118448+28810</f>
        <v>147258</v>
      </c>
      <c r="K172" s="27"/>
      <c r="L172" s="47">
        <f>120818+30373</f>
        <v>151191</v>
      </c>
      <c r="M172" s="26">
        <f>159905</f>
        <v>159905</v>
      </c>
      <c r="N172" s="49">
        <f>159905-8000</f>
        <v>151905</v>
      </c>
      <c r="O172" s="49">
        <v>159905</v>
      </c>
      <c r="P172" s="26">
        <f>O172-N172</f>
        <v>8000</v>
      </c>
      <c r="Q172" s="26" t="s">
        <v>93</v>
      </c>
      <c r="R172" s="28" t="s">
        <v>23</v>
      </c>
      <c r="S172" s="7"/>
    </row>
    <row r="173" spans="1:19">
      <c r="A173" s="24">
        <v>73</v>
      </c>
      <c r="B173" s="14"/>
      <c r="C173" s="14"/>
      <c r="D173" s="25" t="s">
        <v>24</v>
      </c>
      <c r="E173" s="26">
        <f>7224+1654</f>
        <v>8878</v>
      </c>
      <c r="F173" s="26">
        <v>9100</v>
      </c>
      <c r="G173" s="26">
        <v>9037</v>
      </c>
      <c r="H173" s="26">
        <v>17800</v>
      </c>
      <c r="I173" s="26"/>
      <c r="J173" s="26">
        <v>18800</v>
      </c>
      <c r="K173" s="27"/>
      <c r="L173" s="47">
        <v>12200</v>
      </c>
      <c r="M173" s="26">
        <v>18500</v>
      </c>
      <c r="N173" s="49">
        <v>18500</v>
      </c>
      <c r="O173" s="49">
        <v>18500</v>
      </c>
      <c r="P173" s="26"/>
      <c r="Q173" s="26"/>
      <c r="R173" s="28" t="s">
        <v>23</v>
      </c>
      <c r="S173" s="7"/>
    </row>
    <row r="174" spans="1:19">
      <c r="A174" s="24">
        <v>74</v>
      </c>
      <c r="B174" s="14"/>
      <c r="C174" s="14"/>
      <c r="D174" s="25" t="s">
        <v>91</v>
      </c>
      <c r="E174" s="26">
        <v>6800</v>
      </c>
      <c r="F174" s="26">
        <v>6800</v>
      </c>
      <c r="G174" s="26">
        <v>6800</v>
      </c>
      <c r="H174" s="26">
        <v>0</v>
      </c>
      <c r="I174" s="26"/>
      <c r="J174" s="26">
        <v>0</v>
      </c>
      <c r="K174" s="27"/>
      <c r="L174" s="47">
        <v>6800</v>
      </c>
      <c r="M174" s="26">
        <v>0</v>
      </c>
      <c r="N174" s="49">
        <v>0</v>
      </c>
      <c r="O174" s="49">
        <v>0</v>
      </c>
      <c r="P174" s="26"/>
      <c r="Q174" s="26"/>
      <c r="R174" s="28" t="s">
        <v>23</v>
      </c>
      <c r="S174" s="7"/>
    </row>
    <row r="175" spans="1:19" ht="7.5" customHeight="1">
      <c r="A175" s="14"/>
      <c r="B175" s="14"/>
      <c r="C175" s="14"/>
      <c r="D175" s="14"/>
      <c r="E175" s="26"/>
      <c r="F175" s="26"/>
      <c r="G175" s="26"/>
      <c r="H175" s="26"/>
      <c r="I175" s="26"/>
      <c r="J175" s="26"/>
      <c r="K175" s="27"/>
      <c r="L175" s="47"/>
      <c r="M175" s="26"/>
      <c r="N175" s="49"/>
      <c r="O175" s="49"/>
      <c r="P175" s="26"/>
      <c r="Q175" s="26"/>
      <c r="R175" s="28"/>
      <c r="S175" s="7"/>
    </row>
    <row r="176" spans="1:19">
      <c r="A176" s="14"/>
      <c r="B176" s="24">
        <v>543</v>
      </c>
      <c r="C176" s="25" t="s">
        <v>94</v>
      </c>
      <c r="D176" s="14"/>
      <c r="E176" s="26"/>
      <c r="F176" s="26"/>
      <c r="G176" s="26"/>
      <c r="H176" s="26"/>
      <c r="I176" s="26"/>
      <c r="J176" s="26"/>
      <c r="K176" s="27"/>
      <c r="L176" s="47"/>
      <c r="M176" s="26"/>
      <c r="N176" s="49"/>
      <c r="O176" s="49"/>
      <c r="P176" s="26"/>
      <c r="Q176" s="26"/>
      <c r="R176" s="28"/>
      <c r="S176" s="7"/>
    </row>
    <row r="177" spans="1:19">
      <c r="A177" s="24">
        <v>75</v>
      </c>
      <c r="B177" s="14"/>
      <c r="C177" s="14"/>
      <c r="D177" s="25" t="s">
        <v>22</v>
      </c>
      <c r="E177" s="26">
        <v>14250</v>
      </c>
      <c r="F177" s="26">
        <v>20908</v>
      </c>
      <c r="G177" s="26">
        <v>21326</v>
      </c>
      <c r="H177" s="26">
        <v>31988</v>
      </c>
      <c r="I177" s="26"/>
      <c r="J177" s="26">
        <v>60000</v>
      </c>
      <c r="K177" s="27"/>
      <c r="L177" s="47">
        <v>38925</v>
      </c>
      <c r="M177" s="26">
        <v>39670</v>
      </c>
      <c r="N177" s="49">
        <v>39670</v>
      </c>
      <c r="O177" s="49">
        <v>39670</v>
      </c>
      <c r="P177" s="26"/>
      <c r="Q177" s="26"/>
      <c r="R177" s="28" t="s">
        <v>23</v>
      </c>
      <c r="S177" s="7"/>
    </row>
    <row r="178" spans="1:19">
      <c r="A178" s="24">
        <v>76</v>
      </c>
      <c r="B178" s="14"/>
      <c r="C178" s="14"/>
      <c r="D178" s="25" t="s">
        <v>24</v>
      </c>
      <c r="E178" s="26">
        <f>1724+950</f>
        <v>2674</v>
      </c>
      <c r="F178" s="26">
        <v>1899</v>
      </c>
      <c r="G178" s="26">
        <v>2107</v>
      </c>
      <c r="H178" s="26">
        <v>31000</v>
      </c>
      <c r="I178" s="26"/>
      <c r="J178" s="26">
        <v>45000</v>
      </c>
      <c r="K178" s="27"/>
      <c r="L178" s="47">
        <f>4500-1500</f>
        <v>3000</v>
      </c>
      <c r="M178" s="26">
        <f>4500-1500</f>
        <v>3000</v>
      </c>
      <c r="N178" s="49">
        <f>4500-1500</f>
        <v>3000</v>
      </c>
      <c r="O178" s="49">
        <f>4500-1500</f>
        <v>3000</v>
      </c>
      <c r="P178" s="26"/>
      <c r="Q178" s="26"/>
      <c r="R178" s="28" t="s">
        <v>23</v>
      </c>
      <c r="S178" s="7"/>
    </row>
    <row r="179" spans="1:19">
      <c r="A179" s="24">
        <v>77</v>
      </c>
      <c r="B179" s="14"/>
      <c r="C179" s="14"/>
      <c r="D179" s="25" t="s">
        <v>95</v>
      </c>
      <c r="E179" s="26">
        <v>53019</v>
      </c>
      <c r="F179" s="26">
        <v>30786</v>
      </c>
      <c r="G179" s="26">
        <v>23410</v>
      </c>
      <c r="H179" s="26">
        <v>0</v>
      </c>
      <c r="I179" s="26"/>
      <c r="J179" s="26">
        <v>0</v>
      </c>
      <c r="K179" s="27"/>
      <c r="L179" s="47">
        <v>42000</v>
      </c>
      <c r="M179" s="26">
        <v>42000</v>
      </c>
      <c r="N179" s="49">
        <v>42000</v>
      </c>
      <c r="O179" s="49">
        <v>42000</v>
      </c>
      <c r="P179" s="26"/>
      <c r="Q179" s="26"/>
      <c r="R179" s="28" t="s">
        <v>23</v>
      </c>
      <c r="S179" s="7"/>
    </row>
    <row r="180" spans="1:19" ht="7.5" customHeight="1">
      <c r="A180" s="14"/>
      <c r="B180" s="14"/>
      <c r="C180" s="14"/>
      <c r="D180" s="14"/>
      <c r="E180" s="26"/>
      <c r="F180" s="26"/>
      <c r="G180" s="26"/>
      <c r="H180" s="26"/>
      <c r="I180" s="26"/>
      <c r="J180" s="26"/>
      <c r="K180" s="27"/>
      <c r="L180" s="47"/>
      <c r="M180" s="26"/>
      <c r="N180" s="49"/>
      <c r="O180" s="49"/>
      <c r="P180" s="26"/>
      <c r="Q180" s="26"/>
      <c r="R180" s="28"/>
      <c r="S180" s="7"/>
    </row>
    <row r="181" spans="1:19">
      <c r="A181" s="14"/>
      <c r="B181" s="24">
        <v>544</v>
      </c>
      <c r="C181" s="25" t="s">
        <v>96</v>
      </c>
      <c r="D181" s="14"/>
      <c r="E181" s="26"/>
      <c r="F181" s="26"/>
      <c r="G181" s="26"/>
      <c r="H181" s="26"/>
      <c r="I181" s="26"/>
      <c r="J181" s="26"/>
      <c r="K181" s="27"/>
      <c r="L181" s="47"/>
      <c r="M181" s="26"/>
      <c r="N181" s="49"/>
      <c r="O181" s="49"/>
      <c r="P181" s="26"/>
      <c r="Q181" s="26"/>
      <c r="R181" s="28"/>
      <c r="S181" s="7"/>
    </row>
    <row r="182" spans="1:19">
      <c r="A182" s="24">
        <v>78</v>
      </c>
      <c r="B182" s="14"/>
      <c r="C182" s="14"/>
      <c r="D182" s="25" t="s">
        <v>24</v>
      </c>
      <c r="E182" s="26">
        <v>1766</v>
      </c>
      <c r="F182" s="26">
        <v>1911</v>
      </c>
      <c r="G182" s="26">
        <v>1411</v>
      </c>
      <c r="H182" s="26">
        <f>2500-500</f>
        <v>2000</v>
      </c>
      <c r="I182" s="26"/>
      <c r="J182" s="26">
        <f>2500-500</f>
        <v>2000</v>
      </c>
      <c r="K182" s="27"/>
      <c r="L182" s="47">
        <f>2500-500</f>
        <v>2000</v>
      </c>
      <c r="M182" s="26">
        <f>2500-500</f>
        <v>2000</v>
      </c>
      <c r="N182" s="49">
        <f>2500-500</f>
        <v>2000</v>
      </c>
      <c r="O182" s="49">
        <f>2500-500</f>
        <v>2000</v>
      </c>
      <c r="P182" s="26"/>
      <c r="Q182" s="26"/>
      <c r="R182" s="28" t="s">
        <v>23</v>
      </c>
      <c r="S182" s="7"/>
    </row>
    <row r="183" spans="1:19" ht="6" customHeight="1">
      <c r="A183" s="14"/>
      <c r="B183" s="14"/>
      <c r="C183" s="14"/>
      <c r="D183" s="14"/>
      <c r="E183" s="26"/>
      <c r="F183" s="26"/>
      <c r="G183" s="26"/>
      <c r="H183" s="26"/>
      <c r="I183" s="26"/>
      <c r="J183" s="26"/>
      <c r="K183" s="27"/>
      <c r="L183" s="47"/>
      <c r="M183" s="26"/>
      <c r="N183" s="49"/>
      <c r="O183" s="49"/>
      <c r="P183" s="26"/>
      <c r="Q183" s="26"/>
      <c r="R183" s="28"/>
      <c r="S183" s="7"/>
    </row>
    <row r="184" spans="1:19" ht="4.5" customHeight="1">
      <c r="A184" s="14"/>
      <c r="B184" s="14"/>
      <c r="C184" s="14"/>
      <c r="D184" s="22"/>
      <c r="E184" s="26"/>
      <c r="F184" s="26"/>
      <c r="G184" s="26"/>
      <c r="H184" s="14"/>
      <c r="I184" s="26"/>
      <c r="J184" s="14"/>
      <c r="K184" s="27"/>
      <c r="L184" s="47"/>
      <c r="M184" s="14"/>
      <c r="N184" s="58"/>
      <c r="O184" s="58"/>
      <c r="P184" s="14"/>
      <c r="Q184" s="14"/>
      <c r="R184" s="28"/>
      <c r="S184" s="7"/>
    </row>
    <row r="185" spans="1:19">
      <c r="A185" s="14"/>
      <c r="B185" s="14"/>
      <c r="C185" s="14"/>
      <c r="D185" s="34" t="s">
        <v>97</v>
      </c>
      <c r="E185" s="26">
        <f>SUM(E166:E183)</f>
        <v>241241</v>
      </c>
      <c r="F185" s="26">
        <f>SUM(F166:F183)</f>
        <v>243726</v>
      </c>
      <c r="G185" s="26">
        <f>SUM(G166:G183)</f>
        <v>228086</v>
      </c>
      <c r="H185" s="26">
        <f>SUBTOTAL(9,H166:H183)</f>
        <v>351940</v>
      </c>
      <c r="I185" s="26"/>
      <c r="J185" s="26">
        <f>SUM(J166:J183)</f>
        <v>418573</v>
      </c>
      <c r="K185" s="27"/>
      <c r="L185" s="47">
        <f>SUBTOTAL(9,L166:L183)</f>
        <v>374838</v>
      </c>
      <c r="M185" s="26">
        <f>SUBTOTAL(9,M166:M183)</f>
        <v>412994</v>
      </c>
      <c r="N185" s="49">
        <f>SUBTOTAL(9,N166:N183)</f>
        <v>395719</v>
      </c>
      <c r="O185" s="49">
        <f>SUBTOTAL(9,O166:O183)</f>
        <v>412994</v>
      </c>
      <c r="P185" s="26"/>
      <c r="Q185" s="26"/>
      <c r="R185" s="28"/>
      <c r="S185" s="7"/>
    </row>
    <row r="186" spans="1:19" ht="12.75" customHeight="1">
      <c r="A186" s="14"/>
      <c r="B186" s="14"/>
      <c r="C186" s="14"/>
      <c r="D186" s="22"/>
      <c r="E186" s="26"/>
      <c r="F186" s="26"/>
      <c r="G186" s="26"/>
      <c r="H186" s="35"/>
      <c r="I186" s="26"/>
      <c r="J186" s="35">
        <f>(J185-H185)/H185</f>
        <v>0.18933056771040518</v>
      </c>
      <c r="K186" s="27"/>
      <c r="L186" s="48">
        <f>(L185-J185)/J185</f>
        <v>-0.10448595585477324</v>
      </c>
      <c r="M186" s="35">
        <f>(M185-L185)/L185</f>
        <v>0.10179330804240766</v>
      </c>
      <c r="N186" s="57">
        <f>(N185-L185)/L185</f>
        <v>5.5706731974879818E-2</v>
      </c>
      <c r="O186" s="57">
        <f>(O185-L185)/L185</f>
        <v>0.10179330804240766</v>
      </c>
      <c r="P186" s="35"/>
      <c r="Q186" s="35"/>
      <c r="R186" s="28"/>
      <c r="S186" s="7"/>
    </row>
    <row r="187" spans="1:19" ht="15.75" customHeight="1">
      <c r="A187" s="14"/>
      <c r="B187" s="14"/>
      <c r="C187" s="14"/>
      <c r="D187" s="22"/>
      <c r="E187" s="26"/>
      <c r="F187" s="26"/>
      <c r="G187" s="26"/>
      <c r="H187" s="26"/>
      <c r="I187" s="26"/>
      <c r="J187" s="26"/>
      <c r="K187" s="27"/>
      <c r="L187" s="47"/>
      <c r="M187" s="26"/>
      <c r="N187" s="49"/>
      <c r="O187" s="49"/>
      <c r="P187" s="26"/>
      <c r="Q187" s="26"/>
      <c r="R187" s="28"/>
      <c r="S187" s="7"/>
    </row>
    <row r="188" spans="1:19">
      <c r="A188" s="14"/>
      <c r="B188" s="15" t="s">
        <v>98</v>
      </c>
      <c r="C188" s="22"/>
      <c r="D188" s="14"/>
      <c r="E188" s="26"/>
      <c r="F188" s="26"/>
      <c r="G188" s="26"/>
      <c r="H188" s="26"/>
      <c r="I188" s="26"/>
      <c r="J188" s="26"/>
      <c r="K188" s="27"/>
      <c r="L188" s="47"/>
      <c r="M188" s="26"/>
      <c r="N188" s="49"/>
      <c r="O188" s="49"/>
      <c r="P188" s="26"/>
      <c r="Q188" s="26"/>
      <c r="R188" s="28"/>
      <c r="S188" s="7"/>
    </row>
    <row r="189" spans="1:19">
      <c r="A189" s="14"/>
      <c r="B189" s="24">
        <v>610</v>
      </c>
      <c r="C189" s="25" t="s">
        <v>99</v>
      </c>
      <c r="D189" s="14"/>
      <c r="E189" s="26"/>
      <c r="F189" s="26"/>
      <c r="G189" s="26"/>
      <c r="H189" s="14"/>
      <c r="I189" s="26"/>
      <c r="J189" s="14"/>
      <c r="K189" s="27"/>
      <c r="L189" s="47"/>
      <c r="M189" s="14"/>
      <c r="N189" s="58"/>
      <c r="O189" s="58"/>
      <c r="P189" s="14"/>
      <c r="Q189" s="14"/>
      <c r="R189" s="28"/>
      <c r="S189" s="7"/>
    </row>
    <row r="190" spans="1:19">
      <c r="A190" s="24">
        <v>80</v>
      </c>
      <c r="B190" s="24"/>
      <c r="C190" s="14"/>
      <c r="D190" s="25" t="s">
        <v>22</v>
      </c>
      <c r="E190" s="26">
        <v>244738</v>
      </c>
      <c r="F190" s="26">
        <v>252550</v>
      </c>
      <c r="G190" s="26">
        <v>260360</v>
      </c>
      <c r="H190" s="26">
        <f>70000+42442+249274</f>
        <v>361716</v>
      </c>
      <c r="I190" s="26"/>
      <c r="J190" s="26">
        <f>71400+43116+257017</f>
        <v>371533</v>
      </c>
      <c r="K190" s="27"/>
      <c r="L190" s="47">
        <v>364070</v>
      </c>
      <c r="M190" s="26">
        <v>385894</v>
      </c>
      <c r="N190" s="49">
        <f>385894-16000</f>
        <v>369894</v>
      </c>
      <c r="O190" s="49">
        <v>385894</v>
      </c>
      <c r="P190" s="26">
        <f>O190-N190</f>
        <v>16000</v>
      </c>
      <c r="Q190" s="26" t="s">
        <v>100</v>
      </c>
      <c r="R190" s="28" t="s">
        <v>23</v>
      </c>
      <c r="S190" s="7"/>
    </row>
    <row r="191" spans="1:19">
      <c r="A191" s="24">
        <v>81</v>
      </c>
      <c r="B191" s="24"/>
      <c r="C191" s="14"/>
      <c r="D191" s="25" t="s">
        <v>24</v>
      </c>
      <c r="E191" s="26">
        <v>119836</v>
      </c>
      <c r="F191" s="26">
        <v>131396</v>
      </c>
      <c r="G191" s="26">
        <v>132778</v>
      </c>
      <c r="H191" s="26">
        <f>139625+15000</f>
        <v>154625</v>
      </c>
      <c r="I191" s="26"/>
      <c r="J191" s="26">
        <f>140160+15000</f>
        <v>155160</v>
      </c>
      <c r="K191" s="27"/>
      <c r="L191" s="47">
        <v>156514</v>
      </c>
      <c r="M191" s="26">
        <v>180870</v>
      </c>
      <c r="N191" s="49">
        <v>180870</v>
      </c>
      <c r="O191" s="49">
        <v>180870</v>
      </c>
      <c r="P191" s="26"/>
      <c r="Q191" s="26"/>
      <c r="R191" s="28" t="s">
        <v>23</v>
      </c>
      <c r="S191" s="7"/>
    </row>
    <row r="192" spans="1:19" ht="6" customHeight="1">
      <c r="A192" s="14"/>
      <c r="B192" s="24"/>
      <c r="C192" s="14"/>
      <c r="D192" s="14"/>
      <c r="E192" s="26"/>
      <c r="F192" s="26"/>
      <c r="G192" s="26"/>
      <c r="H192" s="26"/>
      <c r="I192" s="26"/>
      <c r="J192" s="26"/>
      <c r="K192" s="27"/>
      <c r="L192" s="47"/>
      <c r="M192" s="26"/>
      <c r="N192" s="49"/>
      <c r="O192" s="49"/>
      <c r="P192" s="26"/>
      <c r="Q192" s="26"/>
      <c r="R192" s="28"/>
      <c r="S192" s="7"/>
    </row>
    <row r="193" spans="1:19">
      <c r="A193" s="14"/>
      <c r="B193" s="24">
        <v>650</v>
      </c>
      <c r="C193" s="25" t="s">
        <v>101</v>
      </c>
      <c r="D193" s="14"/>
      <c r="E193" s="26"/>
      <c r="F193" s="26"/>
      <c r="G193" s="26"/>
      <c r="H193" s="26"/>
      <c r="I193" s="26"/>
      <c r="J193" s="26"/>
      <c r="K193" s="27"/>
      <c r="L193" s="47"/>
      <c r="M193" s="26"/>
      <c r="N193" s="49"/>
      <c r="O193" s="49"/>
      <c r="P193" s="26"/>
      <c r="Q193" s="26"/>
      <c r="R193" s="28"/>
      <c r="S193" s="7"/>
    </row>
    <row r="194" spans="1:19">
      <c r="A194" s="24">
        <v>82</v>
      </c>
      <c r="B194" s="24"/>
      <c r="C194" s="14"/>
      <c r="D194" s="25" t="s">
        <v>24</v>
      </c>
      <c r="E194" s="26">
        <v>9997</v>
      </c>
      <c r="F194" s="26">
        <v>9999</v>
      </c>
      <c r="G194" s="26">
        <f>20775+3466</f>
        <v>24241</v>
      </c>
      <c r="H194" s="26">
        <v>25000</v>
      </c>
      <c r="I194" s="26"/>
      <c r="J194" s="26">
        <v>25000</v>
      </c>
      <c r="K194" s="27"/>
      <c r="L194" s="47">
        <v>40000</v>
      </c>
      <c r="M194" s="26">
        <v>40000</v>
      </c>
      <c r="N194" s="49">
        <f>40000-16000</f>
        <v>24000</v>
      </c>
      <c r="O194" s="49">
        <v>40000</v>
      </c>
      <c r="P194" s="26">
        <f>O194-N194</f>
        <v>16000</v>
      </c>
      <c r="Q194" s="26" t="s">
        <v>102</v>
      </c>
      <c r="R194" s="28" t="s">
        <v>23</v>
      </c>
      <c r="S194" s="7"/>
    </row>
    <row r="195" spans="1:19" ht="6" customHeight="1">
      <c r="A195" s="14"/>
      <c r="B195" s="24"/>
      <c r="C195" s="14"/>
      <c r="D195" s="14"/>
      <c r="E195" s="26"/>
      <c r="F195" s="26"/>
      <c r="G195" s="26"/>
      <c r="H195" s="26"/>
      <c r="I195" s="26"/>
      <c r="J195" s="26"/>
      <c r="K195" s="27"/>
      <c r="L195" s="47"/>
      <c r="M195" s="26"/>
      <c r="N195" s="49"/>
      <c r="O195" s="49"/>
      <c r="P195" s="26"/>
      <c r="Q195" s="26"/>
      <c r="R195" s="28"/>
      <c r="S195" s="7"/>
    </row>
    <row r="196" spans="1:19">
      <c r="A196" s="24">
        <v>83</v>
      </c>
      <c r="B196" s="24">
        <v>692</v>
      </c>
      <c r="C196" s="25" t="s">
        <v>103</v>
      </c>
      <c r="D196" s="14"/>
      <c r="E196" s="26">
        <v>1557</v>
      </c>
      <c r="F196" s="26">
        <v>2115</v>
      </c>
      <c r="G196" s="26">
        <v>2076</v>
      </c>
      <c r="H196" s="26">
        <f>2500-500</f>
        <v>2000</v>
      </c>
      <c r="I196" s="26"/>
      <c r="J196" s="26">
        <f>2500-500</f>
        <v>2000</v>
      </c>
      <c r="K196" s="27"/>
      <c r="L196" s="47">
        <f>2500-500</f>
        <v>2000</v>
      </c>
      <c r="M196" s="26">
        <f>2500-500</f>
        <v>2000</v>
      </c>
      <c r="N196" s="49">
        <f>2500-500</f>
        <v>2000</v>
      </c>
      <c r="O196" s="49">
        <f>2500-500</f>
        <v>2000</v>
      </c>
      <c r="P196" s="26"/>
      <c r="Q196" s="26"/>
      <c r="R196" s="28" t="s">
        <v>23</v>
      </c>
      <c r="S196" s="7"/>
    </row>
    <row r="197" spans="1:19" ht="6" customHeight="1">
      <c r="A197" s="14"/>
      <c r="B197" s="24"/>
      <c r="C197" s="14"/>
      <c r="D197" s="14"/>
      <c r="E197" s="26"/>
      <c r="F197" s="26"/>
      <c r="G197" s="26"/>
      <c r="H197" s="26"/>
      <c r="I197" s="26"/>
      <c r="J197" s="26"/>
      <c r="K197" s="27"/>
      <c r="L197" s="47"/>
      <c r="M197" s="26"/>
      <c r="N197" s="49"/>
      <c r="O197" s="49"/>
      <c r="P197" s="26"/>
      <c r="Q197" s="26"/>
      <c r="R197" s="28"/>
      <c r="S197" s="7"/>
    </row>
    <row r="198" spans="1:19" ht="9" customHeight="1">
      <c r="A198" s="14"/>
      <c r="B198" s="24"/>
      <c r="C198" s="14"/>
      <c r="D198" s="14"/>
      <c r="E198" s="26"/>
      <c r="F198" s="26"/>
      <c r="G198" s="26"/>
      <c r="H198" s="14"/>
      <c r="I198" s="26"/>
      <c r="J198" s="14"/>
      <c r="K198" s="27"/>
      <c r="L198" s="47"/>
      <c r="M198" s="14"/>
      <c r="N198" s="58"/>
      <c r="O198" s="58"/>
      <c r="P198" s="14"/>
      <c r="Q198" s="14"/>
      <c r="R198" s="28"/>
      <c r="S198" s="7"/>
    </row>
    <row r="199" spans="1:19">
      <c r="A199" s="14"/>
      <c r="B199" s="14"/>
      <c r="C199" s="14"/>
      <c r="D199" s="34" t="s">
        <v>104</v>
      </c>
      <c r="E199" s="26">
        <f>SUM(E189:E197)</f>
        <v>376128</v>
      </c>
      <c r="F199" s="26">
        <f>SUM(F189:F197)</f>
        <v>396060</v>
      </c>
      <c r="G199" s="26">
        <f>SUM(G189:G197)</f>
        <v>419455</v>
      </c>
      <c r="H199" s="26">
        <f>SUBTOTAL(9,H189:H197)</f>
        <v>543341</v>
      </c>
      <c r="I199" s="26"/>
      <c r="J199" s="26">
        <f>SUM(J189:J197)</f>
        <v>553693</v>
      </c>
      <c r="K199" s="27"/>
      <c r="L199" s="47">
        <f>SUBTOTAL(9,L189:L197)</f>
        <v>562584</v>
      </c>
      <c r="M199" s="26">
        <f>SUBTOTAL(9,M189:M197)</f>
        <v>608764</v>
      </c>
      <c r="N199" s="49">
        <f>SUBTOTAL(9,N189:N197)</f>
        <v>576764</v>
      </c>
      <c r="O199" s="49">
        <f>SUBTOTAL(9,O189:O197)</f>
        <v>608764</v>
      </c>
      <c r="P199" s="26"/>
      <c r="Q199" s="26"/>
      <c r="R199" s="28"/>
      <c r="S199" s="7"/>
    </row>
    <row r="200" spans="1:19">
      <c r="A200" s="14"/>
      <c r="B200" s="14"/>
      <c r="C200" s="14"/>
      <c r="D200" s="22"/>
      <c r="E200" s="26"/>
      <c r="F200" s="26"/>
      <c r="G200" s="26"/>
      <c r="H200" s="35"/>
      <c r="I200" s="26"/>
      <c r="J200" s="35">
        <f>(J199-H199)/H199</f>
        <v>1.9052491897353595E-2</v>
      </c>
      <c r="K200" s="27"/>
      <c r="L200" s="48">
        <f>(L199-J199)/J199</f>
        <v>1.6057634826519389E-2</v>
      </c>
      <c r="M200" s="35">
        <f>(M199-L199)/L199</f>
        <v>8.2085519673506538E-2</v>
      </c>
      <c r="N200" s="57">
        <f>(N199-L199)/L199</f>
        <v>2.5205124923566968E-2</v>
      </c>
      <c r="O200" s="57">
        <f>(O199-L199)/L199</f>
        <v>8.2085519673506538E-2</v>
      </c>
      <c r="P200" s="35"/>
      <c r="Q200" s="35"/>
      <c r="R200" s="28"/>
      <c r="S200" s="7"/>
    </row>
    <row r="201" spans="1:19">
      <c r="A201" s="14"/>
      <c r="B201" s="15" t="s">
        <v>105</v>
      </c>
      <c r="C201" s="14"/>
      <c r="D201" s="22"/>
      <c r="E201" s="26"/>
      <c r="F201" s="26"/>
      <c r="G201" s="26"/>
      <c r="H201" s="35"/>
      <c r="I201" s="26"/>
      <c r="J201" s="26"/>
      <c r="K201" s="27"/>
      <c r="L201" s="50"/>
      <c r="M201" s="35"/>
      <c r="N201" s="57"/>
      <c r="O201" s="57"/>
      <c r="P201" s="35"/>
      <c r="Q201" s="35"/>
      <c r="R201" s="28"/>
      <c r="S201" s="7"/>
    </row>
    <row r="202" spans="1:19">
      <c r="A202" s="14"/>
      <c r="B202" s="24">
        <v>710</v>
      </c>
      <c r="C202" s="25" t="s">
        <v>106</v>
      </c>
      <c r="D202" s="14"/>
      <c r="E202" s="26"/>
      <c r="F202" s="26"/>
      <c r="G202" s="26"/>
      <c r="H202" s="26"/>
      <c r="I202" s="26"/>
      <c r="J202" s="26"/>
      <c r="K202" s="27"/>
      <c r="L202" s="47"/>
      <c r="M202" s="26"/>
      <c r="N202" s="49"/>
      <c r="O202" s="49"/>
      <c r="P202" s="26"/>
      <c r="Q202" s="26"/>
      <c r="R202" s="28"/>
      <c r="S202" s="7"/>
    </row>
    <row r="203" spans="1:19">
      <c r="A203" s="24">
        <v>84</v>
      </c>
      <c r="B203" s="24"/>
      <c r="C203" s="14"/>
      <c r="D203" s="25" t="s">
        <v>107</v>
      </c>
      <c r="E203" s="26">
        <v>503130</v>
      </c>
      <c r="F203" s="26">
        <v>510000</v>
      </c>
      <c r="G203" s="26">
        <v>500000</v>
      </c>
      <c r="H203" s="26">
        <f>494506+245000</f>
        <v>739506</v>
      </c>
      <c r="I203" s="26"/>
      <c r="J203" s="26">
        <f>254164+245000</f>
        <v>499164</v>
      </c>
      <c r="K203" s="27"/>
      <c r="L203" s="47">
        <v>498913</v>
      </c>
      <c r="M203" s="26">
        <v>460000</v>
      </c>
      <c r="N203" s="49">
        <v>460000</v>
      </c>
      <c r="O203" s="49">
        <v>460000</v>
      </c>
      <c r="P203" s="26"/>
      <c r="Q203" s="26"/>
      <c r="R203" s="28" t="s">
        <v>127</v>
      </c>
      <c r="S203" s="7"/>
    </row>
    <row r="204" spans="1:19" ht="15">
      <c r="A204" s="14"/>
      <c r="B204" s="24"/>
      <c r="C204" s="14"/>
      <c r="D204" s="14"/>
      <c r="E204" s="26"/>
      <c r="F204" s="26"/>
      <c r="G204" s="26"/>
      <c r="H204" s="26"/>
      <c r="I204" s="26"/>
      <c r="J204" s="26"/>
      <c r="K204" s="27"/>
      <c r="L204" s="47"/>
      <c r="M204" s="26"/>
      <c r="N204" s="49"/>
      <c r="O204" s="49"/>
      <c r="P204" s="26"/>
      <c r="Q204" s="26"/>
      <c r="R204" s="36" t="s">
        <v>108</v>
      </c>
      <c r="S204" s="9"/>
    </row>
    <row r="205" spans="1:19">
      <c r="A205" s="24">
        <v>85</v>
      </c>
      <c r="B205" s="24"/>
      <c r="C205" s="14"/>
      <c r="D205" s="25" t="s">
        <v>109</v>
      </c>
      <c r="E205" s="26">
        <v>143526</v>
      </c>
      <c r="F205" s="26">
        <v>127641</v>
      </c>
      <c r="G205" s="26">
        <v>110306</v>
      </c>
      <c r="H205" s="26">
        <f>9270+47750</f>
        <v>57020</v>
      </c>
      <c r="I205" s="26"/>
      <c r="J205" s="26">
        <f>15035+35500</f>
        <v>50535</v>
      </c>
      <c r="K205" s="27"/>
      <c r="L205" s="47">
        <f>36550+23250</f>
        <v>59800</v>
      </c>
      <c r="M205" s="26">
        <v>40550</v>
      </c>
      <c r="N205" s="49">
        <v>40550</v>
      </c>
      <c r="O205" s="49">
        <v>40550</v>
      </c>
      <c r="P205" s="26"/>
      <c r="Q205" s="26"/>
      <c r="R205" s="28" t="s">
        <v>126</v>
      </c>
      <c r="S205" s="7"/>
    </row>
    <row r="206" spans="1:19">
      <c r="A206" s="24"/>
      <c r="B206" s="24"/>
      <c r="C206" s="14"/>
      <c r="D206" s="25"/>
      <c r="E206" s="26"/>
      <c r="F206" s="26"/>
      <c r="G206" s="26"/>
      <c r="H206" s="26"/>
      <c r="I206" s="26"/>
      <c r="J206" s="26"/>
      <c r="K206" s="27"/>
      <c r="L206" s="47"/>
      <c r="M206" s="26"/>
      <c r="N206" s="49"/>
      <c r="O206" s="49"/>
      <c r="P206" s="26"/>
      <c r="Q206" s="26"/>
      <c r="R206" s="28" t="s">
        <v>110</v>
      </c>
      <c r="S206" s="7"/>
    </row>
    <row r="207" spans="1:19" ht="15">
      <c r="A207" s="14"/>
      <c r="B207" s="24"/>
      <c r="C207" s="14"/>
      <c r="D207" s="14"/>
      <c r="E207" s="26"/>
      <c r="F207" s="26"/>
      <c r="G207" s="26"/>
      <c r="H207" s="39"/>
      <c r="I207" s="26"/>
      <c r="J207" s="39"/>
      <c r="K207" s="27"/>
      <c r="L207" s="47"/>
      <c r="M207" s="39"/>
      <c r="N207" s="62"/>
      <c r="O207" s="62"/>
      <c r="P207" s="39"/>
      <c r="Q207" s="39"/>
      <c r="R207" s="36" t="s">
        <v>111</v>
      </c>
      <c r="S207" s="9"/>
    </row>
    <row r="208" spans="1:19" ht="6" customHeight="1">
      <c r="A208" s="14"/>
      <c r="B208" s="24"/>
      <c r="C208" s="14"/>
      <c r="D208" s="14"/>
      <c r="E208" s="26"/>
      <c r="F208" s="26"/>
      <c r="G208" s="26"/>
      <c r="H208" s="26"/>
      <c r="I208" s="26"/>
      <c r="J208" s="26"/>
      <c r="K208" s="27"/>
      <c r="L208" s="47"/>
      <c r="M208" s="26"/>
      <c r="N208" s="49"/>
      <c r="O208" s="49"/>
      <c r="P208" s="26"/>
      <c r="Q208" s="26"/>
      <c r="R208" s="28"/>
      <c r="S208" s="7"/>
    </row>
    <row r="209" spans="1:19">
      <c r="A209" s="24">
        <v>86</v>
      </c>
      <c r="B209" s="24">
        <v>911</v>
      </c>
      <c r="C209" s="25" t="s">
        <v>112</v>
      </c>
      <c r="D209" s="14"/>
      <c r="E209" s="26">
        <v>1167985</v>
      </c>
      <c r="F209" s="26">
        <v>1262542</v>
      </c>
      <c r="G209" s="26">
        <v>1417027</v>
      </c>
      <c r="H209" s="26">
        <v>1895320</v>
      </c>
      <c r="I209" s="26"/>
      <c r="J209" s="26">
        <v>2108120</v>
      </c>
      <c r="K209" s="27"/>
      <c r="L209" s="47">
        <v>2335581</v>
      </c>
      <c r="M209" s="26">
        <v>2629828</v>
      </c>
      <c r="N209" s="49">
        <v>2629828</v>
      </c>
      <c r="O209" s="49">
        <v>2629828</v>
      </c>
      <c r="P209" s="26"/>
      <c r="Q209" s="26"/>
      <c r="R209" s="28" t="s">
        <v>23</v>
      </c>
      <c r="S209" s="7"/>
    </row>
    <row r="210" spans="1:19" ht="6" customHeight="1">
      <c r="A210" s="14"/>
      <c r="B210" s="24"/>
      <c r="C210" s="14"/>
      <c r="D210" s="14"/>
      <c r="E210" s="26"/>
      <c r="F210" s="26"/>
      <c r="G210" s="26"/>
      <c r="H210" s="26"/>
      <c r="I210" s="26"/>
      <c r="J210" s="26"/>
      <c r="K210" s="27"/>
      <c r="L210" s="47"/>
      <c r="M210" s="26"/>
      <c r="N210" s="49"/>
      <c r="O210" s="49"/>
      <c r="P210" s="26"/>
      <c r="Q210" s="26"/>
      <c r="R210" s="28"/>
      <c r="S210" s="7"/>
    </row>
    <row r="211" spans="1:19">
      <c r="A211" s="24">
        <v>87</v>
      </c>
      <c r="B211" s="24">
        <v>913</v>
      </c>
      <c r="C211" s="25" t="s">
        <v>113</v>
      </c>
      <c r="D211" s="14"/>
      <c r="E211" s="26">
        <v>27063</v>
      </c>
      <c r="F211" s="26">
        <v>3468</v>
      </c>
      <c r="G211" s="26">
        <f>6934+1890</f>
        <v>8824</v>
      </c>
      <c r="H211" s="26">
        <v>30000</v>
      </c>
      <c r="I211" s="26"/>
      <c r="J211" s="26">
        <v>30000</v>
      </c>
      <c r="K211" s="27"/>
      <c r="L211" s="47">
        <v>30000</v>
      </c>
      <c r="M211" s="26">
        <v>30000</v>
      </c>
      <c r="N211" s="49">
        <v>30000</v>
      </c>
      <c r="O211" s="49">
        <v>30000</v>
      </c>
      <c r="P211" s="26"/>
      <c r="Q211" s="26"/>
      <c r="R211" s="28" t="s">
        <v>23</v>
      </c>
      <c r="S211" s="7"/>
    </row>
    <row r="212" spans="1:19" ht="6" customHeight="1">
      <c r="A212" s="14"/>
      <c r="B212" s="24"/>
      <c r="C212" s="14"/>
      <c r="D212" s="14"/>
      <c r="E212" s="26"/>
      <c r="F212" s="26"/>
      <c r="G212" s="26"/>
      <c r="H212" s="26"/>
      <c r="I212" s="26"/>
      <c r="J212" s="26"/>
      <c r="K212" s="27"/>
      <c r="L212" s="47"/>
      <c r="M212" s="26"/>
      <c r="N212" s="49"/>
      <c r="O212" s="49"/>
      <c r="P212" s="26"/>
      <c r="Q212" s="26"/>
      <c r="R212" s="28"/>
      <c r="S212" s="7"/>
    </row>
    <row r="213" spans="1:19">
      <c r="A213" s="24">
        <v>88</v>
      </c>
      <c r="B213" s="24">
        <v>914</v>
      </c>
      <c r="C213" s="25" t="s">
        <v>114</v>
      </c>
      <c r="D213" s="14"/>
      <c r="E213" s="26">
        <v>1316522</v>
      </c>
      <c r="F213" s="26">
        <v>1397533</v>
      </c>
      <c r="G213" s="26">
        <v>1622684</v>
      </c>
      <c r="H213" s="26">
        <v>2120381</v>
      </c>
      <c r="I213" s="26"/>
      <c r="J213" s="26">
        <v>2205000</v>
      </c>
      <c r="K213" s="27"/>
      <c r="L213" s="47">
        <v>2254517</v>
      </c>
      <c r="M213" s="26">
        <v>2495837</v>
      </c>
      <c r="N213" s="49">
        <v>2495837</v>
      </c>
      <c r="O213" s="49">
        <v>2495837</v>
      </c>
      <c r="P213" s="26"/>
      <c r="Q213" s="26"/>
      <c r="R213" s="28" t="s">
        <v>23</v>
      </c>
      <c r="S213" s="7"/>
    </row>
    <row r="214" spans="1:19" ht="6" customHeight="1">
      <c r="A214" s="14"/>
      <c r="B214" s="24"/>
      <c r="C214" s="14"/>
      <c r="D214" s="14"/>
      <c r="E214" s="26"/>
      <c r="F214" s="26"/>
      <c r="G214" s="26"/>
      <c r="H214" s="26"/>
      <c r="I214" s="26"/>
      <c r="J214" s="26"/>
      <c r="K214" s="27"/>
      <c r="L214" s="47"/>
      <c r="M214" s="26"/>
      <c r="N214" s="49"/>
      <c r="O214" s="49"/>
      <c r="P214" s="26"/>
      <c r="Q214" s="26"/>
      <c r="R214" s="28"/>
      <c r="S214" s="7"/>
    </row>
    <row r="215" spans="1:19">
      <c r="A215" s="24">
        <v>89</v>
      </c>
      <c r="B215" s="24">
        <v>945</v>
      </c>
      <c r="C215" s="25" t="s">
        <v>115</v>
      </c>
      <c r="D215" s="14"/>
      <c r="E215" s="26">
        <f>258965+349</f>
        <v>259314</v>
      </c>
      <c r="F215" s="26">
        <f>275071+385</f>
        <v>275456</v>
      </c>
      <c r="G215" s="26">
        <f>267958+450</f>
        <v>268408</v>
      </c>
      <c r="H215" s="26">
        <v>305000</v>
      </c>
      <c r="I215" s="26"/>
      <c r="J215" s="26">
        <v>305000</v>
      </c>
      <c r="K215" s="27"/>
      <c r="L215" s="47">
        <v>305000</v>
      </c>
      <c r="M215" s="26">
        <v>325000</v>
      </c>
      <c r="N215" s="49">
        <v>325000</v>
      </c>
      <c r="O215" s="49">
        <v>325000</v>
      </c>
      <c r="P215" s="26"/>
      <c r="Q215" s="26"/>
      <c r="R215" s="28" t="s">
        <v>23</v>
      </c>
      <c r="S215" s="7"/>
    </row>
    <row r="216" spans="1:19" ht="6" customHeight="1">
      <c r="A216" s="14"/>
      <c r="B216" s="24"/>
      <c r="C216" s="14"/>
      <c r="D216" s="14"/>
      <c r="E216" s="26"/>
      <c r="F216" s="26"/>
      <c r="G216" s="26"/>
      <c r="H216" s="26"/>
      <c r="I216" s="26"/>
      <c r="J216" s="26"/>
      <c r="K216" s="27"/>
      <c r="L216" s="47"/>
      <c r="M216" s="26"/>
      <c r="N216" s="49"/>
      <c r="O216" s="49"/>
      <c r="P216" s="26"/>
      <c r="Q216" s="26"/>
      <c r="R216" s="28"/>
      <c r="S216" s="7"/>
    </row>
    <row r="217" spans="1:19" ht="6.75" customHeight="1">
      <c r="A217" s="14"/>
      <c r="B217" s="14"/>
      <c r="C217" s="14"/>
      <c r="D217" s="14"/>
      <c r="E217" s="26"/>
      <c r="F217" s="26"/>
      <c r="G217" s="26"/>
      <c r="H217" s="14"/>
      <c r="I217" s="26"/>
      <c r="J217" s="14"/>
      <c r="K217" s="27"/>
      <c r="L217" s="47"/>
      <c r="M217" s="14"/>
      <c r="N217" s="58"/>
      <c r="O217" s="58"/>
      <c r="P217" s="14"/>
      <c r="Q217" s="14"/>
      <c r="R217" s="28"/>
      <c r="S217" s="7"/>
    </row>
    <row r="218" spans="1:19">
      <c r="A218" s="14"/>
      <c r="B218" s="14"/>
      <c r="C218" s="14"/>
      <c r="D218" s="34" t="s">
        <v>116</v>
      </c>
      <c r="E218" s="26">
        <f>SUM(E202:E216)</f>
        <v>3417540</v>
      </c>
      <c r="F218" s="26">
        <f>SUM(F202:F216)</f>
        <v>3576640</v>
      </c>
      <c r="G218" s="26">
        <f>SUM(G202:G216)</f>
        <v>3927249</v>
      </c>
      <c r="H218" s="26">
        <f>SUBTOTAL(9,H202:H216)</f>
        <v>5147227</v>
      </c>
      <c r="I218" s="26"/>
      <c r="J218" s="26">
        <f>SUM(J202:J216)</f>
        <v>5197819</v>
      </c>
      <c r="K218" s="27"/>
      <c r="L218" s="47">
        <f>SUBTOTAL(9,L202:L216)</f>
        <v>5483811</v>
      </c>
      <c r="M218" s="26">
        <f>SUBTOTAL(9,M202:M216)</f>
        <v>5981215</v>
      </c>
      <c r="N218" s="49">
        <f>SUBTOTAL(9,N202:N216)</f>
        <v>5981215</v>
      </c>
      <c r="O218" s="49">
        <f>SUBTOTAL(9,O202:O216)</f>
        <v>5981215</v>
      </c>
      <c r="P218" s="26"/>
      <c r="Q218" s="26"/>
      <c r="R218" s="28"/>
      <c r="S218" s="7"/>
    </row>
    <row r="219" spans="1:19">
      <c r="A219" s="14"/>
      <c r="B219" s="14"/>
      <c r="C219" s="14"/>
      <c r="D219" s="34"/>
      <c r="E219" s="26"/>
      <c r="F219" s="26"/>
      <c r="G219" s="26"/>
      <c r="H219" s="35"/>
      <c r="I219" s="26"/>
      <c r="J219" s="35">
        <f>(J218-H218)/H218</f>
        <v>9.8289817021864397E-3</v>
      </c>
      <c r="K219" s="27"/>
      <c r="L219" s="48">
        <f>(L218-J218)/J218</f>
        <v>5.5021538841579516E-2</v>
      </c>
      <c r="M219" s="35">
        <f>(M218-L218)/L218</f>
        <v>9.0704074228670536E-2</v>
      </c>
      <c r="N219" s="57">
        <f>(N218-L218)/L218</f>
        <v>9.0704074228670536E-2</v>
      </c>
      <c r="O219" s="57">
        <f>(O218-L218)/L218</f>
        <v>9.0704074228670536E-2</v>
      </c>
      <c r="P219" s="35"/>
      <c r="Q219" s="35"/>
      <c r="R219" s="28"/>
      <c r="S219" s="7"/>
    </row>
    <row r="220" spans="1:19">
      <c r="A220" s="14"/>
      <c r="B220" s="14"/>
      <c r="C220" s="14"/>
      <c r="D220" s="34"/>
      <c r="E220" s="26"/>
      <c r="F220" s="26"/>
      <c r="G220" s="26"/>
      <c r="H220" s="35"/>
      <c r="I220" s="26"/>
      <c r="J220" s="35"/>
      <c r="K220" s="27"/>
      <c r="L220" s="50"/>
      <c r="M220" s="35"/>
      <c r="N220" s="57"/>
      <c r="O220" s="57"/>
      <c r="P220" s="35"/>
      <c r="Q220" s="35"/>
      <c r="R220" s="28"/>
      <c r="S220" s="7"/>
    </row>
    <row r="221" spans="1:19">
      <c r="A221" s="14"/>
      <c r="B221" s="15" t="s">
        <v>117</v>
      </c>
      <c r="C221" s="22"/>
      <c r="D221" s="14"/>
      <c r="E221" s="17"/>
      <c r="F221" s="17"/>
      <c r="G221" s="17"/>
      <c r="H221" s="35"/>
      <c r="I221" s="17"/>
      <c r="J221" s="35"/>
      <c r="K221" s="40"/>
      <c r="L221" s="54"/>
      <c r="M221" s="35"/>
      <c r="N221" s="57"/>
      <c r="O221" s="57"/>
      <c r="P221" s="35"/>
      <c r="Q221" s="35"/>
      <c r="R221" s="41"/>
      <c r="S221" s="10"/>
    </row>
    <row r="222" spans="1:19">
      <c r="A222" s="24">
        <v>90</v>
      </c>
      <c r="B222" s="14"/>
      <c r="C222" s="14"/>
      <c r="D222" s="25" t="s">
        <v>22</v>
      </c>
      <c r="E222" s="26">
        <v>391500</v>
      </c>
      <c r="F222" s="26">
        <v>407917</v>
      </c>
      <c r="G222" s="26">
        <v>400281</v>
      </c>
      <c r="H222" s="26">
        <f>112015+459407</f>
        <v>571422</v>
      </c>
      <c r="I222" s="26"/>
      <c r="J222" s="26">
        <f>115075+473302</f>
        <v>588377</v>
      </c>
      <c r="K222" s="27"/>
      <c r="L222" s="47">
        <f>130075+517155</f>
        <v>647230</v>
      </c>
      <c r="M222" s="26">
        <v>698086</v>
      </c>
      <c r="N222" s="49">
        <v>0</v>
      </c>
      <c r="O222" s="49">
        <v>0</v>
      </c>
      <c r="P222" s="26"/>
      <c r="Q222" s="26" t="s">
        <v>118</v>
      </c>
      <c r="R222" s="28" t="s">
        <v>119</v>
      </c>
      <c r="S222" s="7"/>
    </row>
    <row r="223" spans="1:19">
      <c r="A223" s="24">
        <v>91</v>
      </c>
      <c r="B223" s="14"/>
      <c r="C223" s="14"/>
      <c r="D223" s="25" t="s">
        <v>24</v>
      </c>
      <c r="E223" s="26">
        <v>308874</v>
      </c>
      <c r="F223" s="26">
        <f>349481+1304</f>
        <v>350785</v>
      </c>
      <c r="G223" s="26">
        <f>341026+407</f>
        <v>341433</v>
      </c>
      <c r="H223" s="26">
        <f>480975+10000</f>
        <v>490975</v>
      </c>
      <c r="I223" s="26"/>
      <c r="J223" s="26">
        <f>530475+10000</f>
        <v>540475</v>
      </c>
      <c r="K223" s="27"/>
      <c r="L223" s="47">
        <f>551525+10000</f>
        <v>561525</v>
      </c>
      <c r="M223" s="26">
        <v>584400</v>
      </c>
      <c r="N223" s="49">
        <v>0</v>
      </c>
      <c r="O223" s="49">
        <v>0</v>
      </c>
      <c r="P223" s="26"/>
      <c r="Q223" s="26" t="s">
        <v>118</v>
      </c>
      <c r="R223" s="28" t="s">
        <v>119</v>
      </c>
      <c r="S223" s="7"/>
    </row>
    <row r="224" spans="1:19">
      <c r="A224" s="24">
        <v>92</v>
      </c>
      <c r="B224" s="14"/>
      <c r="C224" s="14"/>
      <c r="D224" s="25" t="s">
        <v>120</v>
      </c>
      <c r="E224" s="26">
        <v>195279</v>
      </c>
      <c r="F224" s="26">
        <v>221171</v>
      </c>
      <c r="G224" s="26">
        <f>280398</f>
        <v>280398</v>
      </c>
      <c r="H224" s="26">
        <v>559925</v>
      </c>
      <c r="I224" s="26"/>
      <c r="J224" s="26">
        <v>462550</v>
      </c>
      <c r="K224" s="27"/>
      <c r="L224" s="47">
        <v>428550</v>
      </c>
      <c r="M224" s="26">
        <v>405300</v>
      </c>
      <c r="N224" s="49">
        <v>0</v>
      </c>
      <c r="O224" s="49">
        <v>0</v>
      </c>
      <c r="P224" s="26"/>
      <c r="Q224" s="26" t="s">
        <v>118</v>
      </c>
      <c r="R224" s="28" t="s">
        <v>119</v>
      </c>
      <c r="S224" s="7"/>
    </row>
    <row r="225" spans="1:19">
      <c r="A225" s="24">
        <v>93</v>
      </c>
      <c r="B225" s="14"/>
      <c r="C225" s="14"/>
      <c r="D225" s="25" t="s">
        <v>121</v>
      </c>
      <c r="E225" s="26">
        <v>140465</v>
      </c>
      <c r="F225" s="26">
        <v>146068</v>
      </c>
      <c r="G225" s="26">
        <f>163240</f>
        <v>163240</v>
      </c>
      <c r="H225" s="26">
        <v>293541</v>
      </c>
      <c r="I225" s="26"/>
      <c r="J225" s="26">
        <v>331950</v>
      </c>
      <c r="K225" s="27"/>
      <c r="L225" s="47">
        <v>319825</v>
      </c>
      <c r="M225" s="26">
        <v>343205</v>
      </c>
      <c r="N225" s="49">
        <v>0</v>
      </c>
      <c r="O225" s="49">
        <v>0</v>
      </c>
      <c r="P225" s="26"/>
      <c r="Q225" s="26" t="s">
        <v>118</v>
      </c>
      <c r="R225" s="28" t="s">
        <v>119</v>
      </c>
      <c r="S225" s="7"/>
    </row>
    <row r="226" spans="1:19" ht="6" customHeight="1">
      <c r="A226" s="14"/>
      <c r="B226" s="14"/>
      <c r="C226" s="14"/>
      <c r="D226" s="14"/>
      <c r="E226" s="26"/>
      <c r="F226" s="26"/>
      <c r="G226" s="26"/>
      <c r="H226" s="26"/>
      <c r="I226" s="26"/>
      <c r="J226" s="26"/>
      <c r="K226" s="27"/>
      <c r="L226" s="47"/>
      <c r="M226" s="26"/>
      <c r="N226" s="49"/>
      <c r="O226" s="49"/>
      <c r="P226" s="26"/>
      <c r="Q226" s="26"/>
      <c r="R226" s="28"/>
      <c r="S226" s="7"/>
    </row>
    <row r="227" spans="1:19">
      <c r="A227" s="14"/>
      <c r="B227" s="14"/>
      <c r="C227" s="14"/>
      <c r="D227" s="34" t="s">
        <v>122</v>
      </c>
      <c r="E227" s="26">
        <f>SUM(E222:E226)</f>
        <v>1036118</v>
      </c>
      <c r="F227" s="26">
        <f>SUM(F222:F226)</f>
        <v>1125941</v>
      </c>
      <c r="G227" s="26">
        <f>SUM(G222:G226)</f>
        <v>1185352</v>
      </c>
      <c r="H227" s="26">
        <f>SUBTOTAL(9,H222:H226)</f>
        <v>1915863</v>
      </c>
      <c r="I227" s="26"/>
      <c r="J227" s="26">
        <f>SUM(J222:J226)</f>
        <v>1923352</v>
      </c>
      <c r="K227" s="27"/>
      <c r="L227" s="47">
        <f>SUBTOTAL(9,L222:L226)</f>
        <v>1957130</v>
      </c>
      <c r="M227" s="26">
        <f>SUBTOTAL(9,M222:M226)</f>
        <v>2030991</v>
      </c>
      <c r="N227" s="49">
        <f>SUBTOTAL(9,N222:N226)</f>
        <v>0</v>
      </c>
      <c r="O227" s="49">
        <f>SUBTOTAL(9,O222:O226)</f>
        <v>0</v>
      </c>
      <c r="P227" s="26"/>
      <c r="Q227" s="26"/>
      <c r="R227" s="28"/>
      <c r="S227" s="7"/>
    </row>
    <row r="228" spans="1:19">
      <c r="A228" s="14"/>
      <c r="B228" s="14"/>
      <c r="C228" s="14"/>
      <c r="D228" s="34"/>
      <c r="E228" s="26"/>
      <c r="F228" s="26"/>
      <c r="G228" s="26"/>
      <c r="H228" s="35"/>
      <c r="I228" s="26"/>
      <c r="J228" s="35">
        <f>(J227-H227)/H227</f>
        <v>3.9089433847827324E-3</v>
      </c>
      <c r="K228" s="27"/>
      <c r="L228" s="48">
        <f>(L227-J227)/J227</f>
        <v>1.7562047924664856E-2</v>
      </c>
      <c r="M228" s="35">
        <f>(M227-L227)/L227</f>
        <v>3.773944500365331E-2</v>
      </c>
      <c r="N228" s="57">
        <f>(N227-L227)/L227</f>
        <v>-1</v>
      </c>
      <c r="O228" s="57">
        <f>(O227-L227)/L227</f>
        <v>-1</v>
      </c>
      <c r="P228" s="35"/>
      <c r="Q228" s="35"/>
      <c r="R228" s="28"/>
      <c r="S228" s="7"/>
    </row>
    <row r="229" spans="1:19">
      <c r="A229" s="14"/>
      <c r="B229" s="14"/>
      <c r="C229" s="14"/>
      <c r="D229" s="34"/>
      <c r="E229" s="26"/>
      <c r="F229" s="26"/>
      <c r="G229" s="26"/>
      <c r="H229" s="35"/>
      <c r="I229" s="26"/>
      <c r="J229" s="35"/>
      <c r="K229" s="27"/>
      <c r="L229" s="48"/>
      <c r="M229" s="35"/>
      <c r="N229" s="57"/>
      <c r="O229" s="57"/>
      <c r="P229" s="35"/>
      <c r="Q229" s="35"/>
      <c r="R229" s="28"/>
      <c r="S229" s="7"/>
    </row>
    <row r="230" spans="1:19">
      <c r="A230" s="14"/>
      <c r="B230" s="14"/>
      <c r="C230" s="14"/>
      <c r="D230" s="34"/>
      <c r="E230" s="26"/>
      <c r="F230" s="26"/>
      <c r="G230" s="26"/>
      <c r="H230" s="35"/>
      <c r="I230" s="26"/>
      <c r="J230" s="35"/>
      <c r="K230" s="27"/>
      <c r="L230" s="48"/>
      <c r="M230" s="35"/>
      <c r="N230" s="57"/>
      <c r="O230" s="57"/>
      <c r="P230" s="55">
        <v>1061725</v>
      </c>
      <c r="Q230" s="35"/>
      <c r="R230" s="28" t="s">
        <v>123</v>
      </c>
      <c r="S230" s="7"/>
    </row>
    <row r="231" spans="1:19">
      <c r="A231" s="14"/>
      <c r="B231" s="14"/>
      <c r="C231" s="14"/>
      <c r="D231" s="34"/>
      <c r="E231" s="26"/>
      <c r="F231" s="26"/>
      <c r="G231" s="26"/>
      <c r="H231" s="42"/>
      <c r="I231" s="26"/>
      <c r="J231" s="42"/>
      <c r="K231" s="27"/>
      <c r="L231" s="53"/>
      <c r="M231" s="42"/>
      <c r="N231" s="57"/>
      <c r="O231" s="57"/>
      <c r="P231" s="42"/>
      <c r="Q231" s="42"/>
      <c r="R231" s="28"/>
      <c r="S231" s="7"/>
    </row>
    <row r="232" spans="1:19" ht="15.75">
      <c r="A232" s="14"/>
      <c r="B232" s="14"/>
      <c r="C232" s="14"/>
      <c r="D232" s="43" t="s">
        <v>124</v>
      </c>
      <c r="E232" s="44" t="e">
        <f>#REF!+E227+#REF!+#REF!</f>
        <v>#REF!</v>
      </c>
      <c r="F232" s="44" t="e">
        <f>#REF!+F227+#REF!+#REF!</f>
        <v>#REF!</v>
      </c>
      <c r="G232" s="44" t="e">
        <f>#REF!+G227+#REF!+#REF!</f>
        <v>#REF!</v>
      </c>
      <c r="H232" s="44">
        <f>SUBTOTAL(9,H9:H227)</f>
        <v>32367140</v>
      </c>
      <c r="I232" s="44"/>
      <c r="J232" s="44">
        <f>J79+J128+J144+J162+J185+J199+J218+J227</f>
        <v>34164502</v>
      </c>
      <c r="K232" s="27"/>
      <c r="L232" s="44">
        <f>L79+L128+L144+L162+L185+L199+L218+L227</f>
        <v>35983337</v>
      </c>
      <c r="M232" s="44">
        <f>M79+M128+M144+M162+M185+M199+M218+M227</f>
        <v>39186078</v>
      </c>
      <c r="N232" s="63">
        <f>N79+N128+N144+N162+N185+N199+N218+N227</f>
        <v>35216812</v>
      </c>
      <c r="O232" s="63">
        <f>O79+O128+O144+O162+O185+O199+O218+O227</f>
        <v>37155087</v>
      </c>
      <c r="P232" s="44">
        <f>SUBTOTAL(9,P6:P231)</f>
        <v>3000000</v>
      </c>
      <c r="Q232" s="44"/>
      <c r="R232" s="28"/>
      <c r="S232" s="7"/>
    </row>
    <row r="233" spans="1:19">
      <c r="A233" s="14"/>
      <c r="B233" s="14"/>
      <c r="C233" s="14"/>
      <c r="D233" s="34"/>
      <c r="E233" s="27"/>
      <c r="F233" s="27"/>
      <c r="G233" s="27"/>
      <c r="H233" s="35"/>
      <c r="I233" s="27"/>
      <c r="J233" s="35">
        <f>(J232-H232)/H232</f>
        <v>5.5530454652465436E-2</v>
      </c>
      <c r="K233" s="27"/>
      <c r="L233" s="35">
        <f>(L232-J232)/J232</f>
        <v>5.3237568046506284E-2</v>
      </c>
      <c r="M233" s="35">
        <f>(M232-L232)/L232</f>
        <v>8.9006225298115069E-2</v>
      </c>
      <c r="N233" s="57">
        <f>(N232-L232)/L232</f>
        <v>-2.1302221080829718E-2</v>
      </c>
      <c r="O233" s="57">
        <f>(O232-L232)/L232</f>
        <v>3.2563683573871981E-2</v>
      </c>
      <c r="P233" s="35"/>
      <c r="Q233" s="35"/>
      <c r="R233" s="28"/>
      <c r="S233" s="7"/>
    </row>
    <row r="234" spans="1:19">
      <c r="H234" s="8"/>
      <c r="J234" s="8"/>
      <c r="M234" s="8"/>
      <c r="N234" s="8"/>
    </row>
    <row r="237" spans="1:19">
      <c r="O237" s="12"/>
      <c r="P237" s="12"/>
      <c r="Q237" s="12"/>
    </row>
    <row r="238" spans="1:19">
      <c r="O238" s="12"/>
      <c r="P238" s="12"/>
      <c r="Q238" s="12"/>
    </row>
    <row r="239" spans="1:19">
      <c r="O239" s="12"/>
      <c r="P239" s="12"/>
      <c r="Q239" s="12"/>
    </row>
    <row r="240" spans="1:19">
      <c r="O240" s="12"/>
      <c r="P240" s="12"/>
      <c r="Q240" s="12"/>
    </row>
    <row r="241" spans="15:17">
      <c r="O241" s="12"/>
      <c r="P241" s="12"/>
      <c r="Q241" s="12"/>
    </row>
    <row r="242" spans="15:17">
      <c r="O242" s="12"/>
      <c r="P242" s="12"/>
      <c r="Q242" s="12"/>
    </row>
    <row r="243" spans="15:17">
      <c r="O243" s="12"/>
      <c r="P243" s="12"/>
      <c r="Q243" s="12"/>
    </row>
    <row r="244" spans="15:17">
      <c r="O244" s="12"/>
      <c r="P244" s="12"/>
      <c r="Q244" s="12"/>
    </row>
    <row r="245" spans="15:17">
      <c r="O245" s="12"/>
      <c r="P245" s="12"/>
      <c r="Q245" s="12"/>
    </row>
    <row r="246" spans="15:17">
      <c r="O246" s="12"/>
      <c r="P246" s="12"/>
      <c r="Q246" s="12"/>
    </row>
    <row r="247" spans="15:17">
      <c r="O247" s="12"/>
      <c r="P247" s="12"/>
      <c r="Q247" s="12"/>
    </row>
    <row r="248" spans="15:17">
      <c r="O248" s="12"/>
      <c r="P248" s="12"/>
      <c r="Q248" s="12"/>
    </row>
    <row r="249" spans="15:17">
      <c r="O249" s="12"/>
      <c r="P249" s="12"/>
      <c r="Q249" s="12"/>
    </row>
  </sheetData>
  <mergeCells count="3">
    <mergeCell ref="M4:O4"/>
    <mergeCell ref="B1:R1"/>
    <mergeCell ref="B2:R2"/>
  </mergeCells>
  <printOptions horizontalCentered="1" gridLinesSet="0"/>
  <pageMargins left="0.7" right="0.7" top="0.25" bottom="0.75" header="0.3" footer="0.3"/>
  <pageSetup scale="57" fitToHeight="6" orientation="landscape" r:id="rId1"/>
  <headerFooter alignWithMargins="0"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bf5e47-d493-432b-916d-13c2b30cc449">
      <Terms xmlns="http://schemas.microsoft.com/office/infopath/2007/PartnerControls"/>
    </lcf76f155ced4ddcb4097134ff3c332f>
    <TaxCatchAll xmlns="277d3850-7f60-42cb-bed6-cd39c2b832c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0B86192638EA48B6A96BAE02F6373C" ma:contentTypeVersion="13" ma:contentTypeDescription="Create a new document." ma:contentTypeScope="" ma:versionID="0d021f661026c8702a8b847828a828da">
  <xsd:schema xmlns:xsd="http://www.w3.org/2001/XMLSchema" xmlns:xs="http://www.w3.org/2001/XMLSchema" xmlns:p="http://schemas.microsoft.com/office/2006/metadata/properties" xmlns:ns2="dbbf5e47-d493-432b-916d-13c2b30cc449" xmlns:ns3="277d3850-7f60-42cb-bed6-cd39c2b832ca" targetNamespace="http://schemas.microsoft.com/office/2006/metadata/properties" ma:root="true" ma:fieldsID="a7bbbe2dd2c7ede3627ad3594829c544" ns2:_="" ns3:_="">
    <xsd:import namespace="dbbf5e47-d493-432b-916d-13c2b30cc449"/>
    <xsd:import namespace="277d3850-7f60-42cb-bed6-cd39c2b832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bf5e47-d493-432b-916d-13c2b30cc4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a42ce49-05d4-4c17-b7b8-971611f985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d3850-7f60-42cb-bed6-cd39c2b832c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59d8f0f-418c-4ca2-89ef-6717c6fa9843}" ma:internalName="TaxCatchAll" ma:showField="CatchAllData" ma:web="277d3850-7f60-42cb-bed6-cd39c2b832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40921B-6924-44F2-B12D-48CC4AE90428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dbbf5e47-d493-432b-916d-13c2b30cc449"/>
    <ds:schemaRef ds:uri="http://schemas.microsoft.com/office/infopath/2007/PartnerControls"/>
    <ds:schemaRef ds:uri="http://schemas.microsoft.com/office/2006/documentManagement/types"/>
    <ds:schemaRef ds:uri="http://purl.org/dc/dcmitype/"/>
    <ds:schemaRef ds:uri="277d3850-7f60-42cb-bed6-cd39c2b832ca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F8A6D5D-8002-4D40-8EDF-8DEC9027E0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bf5e47-d493-432b-916d-13c2b30cc449"/>
    <ds:schemaRef ds:uri="277d3850-7f60-42cb-bed6-cd39c2b832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4328BE-8744-4E2F-B347-DADD46D2C6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 Article 2026</vt:lpstr>
      <vt:lpstr>'Budget Article 2026'!Print_Area</vt:lpstr>
      <vt:lpstr>'Budget Article 2026'!Print_Titles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Todd Hassett</dc:creator>
  <cp:keywords/>
  <dc:description/>
  <cp:lastModifiedBy>Lisa Green</cp:lastModifiedBy>
  <cp:revision/>
  <dcterms:created xsi:type="dcterms:W3CDTF">2022-04-27T13:11:50Z</dcterms:created>
  <dcterms:modified xsi:type="dcterms:W3CDTF">2025-04-17T20:24:45Z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